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cripchenko.CORP\Desktop\РЕШЕНИЯ СОВЕТА\Решения Совета 2024 год\Решение СНД № 15\СВОД\"/>
    </mc:Choice>
  </mc:AlternateContent>
  <bookViews>
    <workbookView xWindow="-120" yWindow="-120" windowWidth="29040" windowHeight="15720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" l="1"/>
  <c r="D54" i="1"/>
  <c r="D44" i="1"/>
  <c r="D37" i="1"/>
  <c r="D27" i="1"/>
  <c r="D15" i="1"/>
  <c r="D32" i="1"/>
  <c r="D33" i="1"/>
  <c r="D66" i="1"/>
  <c r="D45" i="1"/>
  <c r="D49" i="1"/>
  <c r="D84" i="1"/>
  <c r="D25" i="1"/>
  <c r="D68" i="1"/>
  <c r="D67" i="1"/>
  <c r="D29" i="1"/>
  <c r="E40" i="1"/>
  <c r="D40" i="1"/>
  <c r="E50" i="1"/>
  <c r="F50" i="1"/>
  <c r="D50" i="1"/>
  <c r="D65" i="1"/>
  <c r="D48" i="1"/>
  <c r="E14" i="1" l="1"/>
  <c r="F14" i="1"/>
  <c r="D82" i="1" l="1"/>
  <c r="D14" i="1"/>
  <c r="D83" i="1"/>
  <c r="D46" i="1"/>
  <c r="D53" i="1"/>
  <c r="D19" i="1"/>
  <c r="D18" i="1" s="1"/>
  <c r="D52" i="1"/>
  <c r="D51" i="1"/>
  <c r="D62" i="1"/>
  <c r="E46" i="1"/>
  <c r="D39" i="1" l="1"/>
  <c r="F66" i="1"/>
  <c r="F65" i="1"/>
  <c r="F63" i="1"/>
  <c r="F58" i="1"/>
  <c r="F55" i="1"/>
  <c r="F47" i="1"/>
  <c r="F45" i="1"/>
  <c r="F38" i="1"/>
  <c r="E66" i="1"/>
  <c r="E65" i="1"/>
  <c r="E63" i="1"/>
  <c r="E58" i="1"/>
  <c r="E55" i="1"/>
  <c r="E47" i="1"/>
  <c r="E45" i="1"/>
  <c r="D63" i="1"/>
  <c r="D58" i="1"/>
  <c r="D55" i="1"/>
  <c r="D47" i="1"/>
  <c r="D80" i="1"/>
  <c r="D79" i="1" s="1"/>
  <c r="D78" i="1"/>
  <c r="D76" i="1" s="1"/>
  <c r="F59" i="1" l="1"/>
  <c r="E59" i="1"/>
  <c r="D59" i="1"/>
  <c r="F40" i="1"/>
  <c r="D36" i="1" l="1"/>
  <c r="E27" i="1"/>
  <c r="E73" i="1"/>
  <c r="D73" i="1"/>
  <c r="D71" i="1" s="1"/>
  <c r="F64" i="1" l="1"/>
  <c r="E64" i="1"/>
  <c r="D64" i="1"/>
  <c r="F62" i="1"/>
  <c r="E62" i="1"/>
  <c r="F61" i="1"/>
  <c r="E61" i="1"/>
  <c r="D61" i="1"/>
  <c r="F60" i="1"/>
  <c r="E60" i="1"/>
  <c r="D60" i="1"/>
  <c r="F57" i="1"/>
  <c r="E57" i="1"/>
  <c r="F53" i="1"/>
  <c r="E53" i="1"/>
  <c r="F51" i="1"/>
  <c r="E51" i="1"/>
  <c r="F46" i="1"/>
  <c r="F44" i="1"/>
  <c r="E44" i="1"/>
  <c r="F37" i="1"/>
  <c r="E37" i="1"/>
  <c r="F36" i="1"/>
  <c r="E36" i="1"/>
  <c r="F26" i="1"/>
  <c r="E26" i="1"/>
  <c r="D24" i="1"/>
  <c r="F74" i="1"/>
  <c r="F71" i="1" s="1"/>
  <c r="E74" i="1"/>
  <c r="E71" i="1" s="1"/>
  <c r="E43" i="1" l="1"/>
  <c r="F31" i="1"/>
  <c r="F17" i="1" s="1"/>
  <c r="D31" i="1"/>
  <c r="D17" i="1" s="1"/>
  <c r="E31" i="1"/>
  <c r="E17" i="1" s="1"/>
  <c r="F43" i="1"/>
  <c r="D43" i="1" l="1"/>
  <c r="D12" i="1" s="1"/>
  <c r="D11" i="1" s="1"/>
  <c r="F12" i="1"/>
  <c r="F11" i="1" s="1"/>
  <c r="E12" i="1"/>
  <c r="E11" i="1" s="1"/>
</calcChain>
</file>

<file path=xl/sharedStrings.xml><?xml version="1.0" encoding="utf-8"?>
<sst xmlns="http://schemas.openxmlformats.org/spreadsheetml/2006/main" count="162" uniqueCount="133">
  <si>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</si>
  <si>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</si>
  <si>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</si>
  <si>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</si>
  <si>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</si>
  <si>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</si>
  <si>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</si>
  <si>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</si>
  <si>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</si>
  <si>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</si>
  <si>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</si>
  <si>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</si>
  <si>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</si>
  <si>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</si>
  <si>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</si>
  <si>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</si>
  <si>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</si>
  <si>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</si>
  <si>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</si>
  <si>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</si>
  <si>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</si>
  <si>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</si>
  <si>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</si>
  <si>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</si>
  <si>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</si>
  <si>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</si>
  <si>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</si>
  <si>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</si>
  <si>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</si>
  <si>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</si>
  <si>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</si>
  <si>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</si>
  <si>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</si>
  <si>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</si>
  <si>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</si>
  <si>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</si>
  <si>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</si>
  <si>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</si>
  <si>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</si>
  <si>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</si>
  <si>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</si>
  <si>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</si>
  <si>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</si>
  <si>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</si>
  <si>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</si>
  <si>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</si>
  <si>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</si>
  <si>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</si>
  <si>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</si>
  <si>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</si>
  <si>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</si>
  <si>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</si>
  <si>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</si>
  <si>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</si>
  <si>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</si>
  <si>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</si>
  <si>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</si>
  <si>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</si>
  <si>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</si>
  <si>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</si>
  <si>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</si>
  <si>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</si>
  <si>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</si>
  <si>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</si>
  <si>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</si>
  <si>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</si>
  <si>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</si>
  <si>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</si>
  <si>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</si>
  <si>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</si>
  <si>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</si>
  <si>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</si>
  <si>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</si>
  <si>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</si>
  <si>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</si>
  <si>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>(рублей)</t>
  </si>
  <si>
    <t>1</t>
  </si>
  <si>
    <t>2</t>
  </si>
  <si>
    <t>3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</si>
  <si>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</si>
  <si>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</si>
  <si>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</si>
  <si>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</si>
  <si>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</si>
  <si>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</si>
  <si>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</si>
  <si>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</si>
  <si>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</si>
  <si>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</si>
  <si>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</si>
  <si>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</si>
  <si>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</si>
  <si>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которыз планируется). </t>
  </si>
  <si>
    <t xml:space="preserve">Приложение № 2 к решению </t>
  </si>
  <si>
    <t>Субсидия бюджетам муниципальных образований на софинансирование мероприятий, направленных на модернизацию коммунальной инраструктуры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</si>
  <si>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</si>
  <si>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2 02 45393 04 0000 150</t>
  </si>
  <si>
    <t>2026 год</t>
  </si>
  <si>
    <t>Прогнозируемый объём безвозмездных поступлений городского бюджета по кодам видов доходов на 2024 год и плановый период 2025 и 2026 годов</t>
  </si>
  <si>
    <t>в том числе</t>
  </si>
  <si>
    <t>2 02 25511 04 0000 150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</si>
  <si>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</si>
  <si>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</si>
  <si>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</si>
  <si>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</si>
  <si>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</si>
  <si>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    от _______</t>
  </si>
  <si>
    <t xml:space="preserve">    № ____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</si>
  <si>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</si>
  <si>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</si>
  <si>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</si>
  <si>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</si>
  <si>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</si>
  <si>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</si>
  <si>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</si>
  <si>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</si>
  <si>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</si>
  <si>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</si>
  <si>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</si>
  <si>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</si>
  <si>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</si>
  <si>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</si>
  <si>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</si>
  <si>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</si>
  <si>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</si>
  <si>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</si>
  <si>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</si>
  <si>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перевод объектов ЖКХ на потребление природного газа</t>
  </si>
  <si>
    <t xml:space="preserve">2 02 49999 04 0000 150 </t>
  </si>
  <si>
    <t>Прочие межбюджетные трансферты, передаваемые бюджетам городских округов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</si>
  <si>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</si>
  <si>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</si>
  <si>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r>
      <t>Межбюджетные трансферты, передаваемые бюджетам городских округов на финансовое обеспечение дорожной деятельности</t>
    </r>
    <r>
      <rPr>
        <b/>
        <sz val="1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</si>
</sst>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8" borderId="2" applyNumberFormat="0" applyAlignment="0" applyProtection="0"/>
    <xf numFmtId="0" fontId="10" fillId="21" borderId="3" applyNumberFormat="0" applyAlignment="0" applyProtection="0"/>
    <xf numFmtId="0" fontId="11" fillId="21" borderId="2" applyNumberFormat="0" applyAlignment="0" applyProtection="0"/>
    <xf numFmtId="164" fontId="5" fillId="0" borderId="0" applyFon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2" borderId="8" applyNumberFormat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4" fillId="0" borderId="0"/>
    <xf numFmtId="0" fontId="7" fillId="0" borderId="0"/>
    <xf numFmtId="0" fontId="7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24" fillId="24" borderId="9" applyNumberFormat="0" applyFont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7" fillId="24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1" fillId="0" borderId="0"/>
    <xf numFmtId="0" fontId="5" fillId="0" borderId="0"/>
    <xf numFmtId="0" fontId="1" fillId="0" borderId="0"/>
  </cellStyleXfs>
  <cellXfs count="36">
    <xf numFmtId="0" fontId="0" fillId="0" borderId="0" xfId="0"/>
    <xf numFmtId="49" fontId="4" fillId="2" borderId="0" xfId="0" applyNumberFormat="1" applyFont="1" applyFill="1" applyAlignment="1">
      <alignment horizontal="center" vertical="center"/>
    </xf>
    <xf numFmtId="0" fontId="4" fillId="2" borderId="0" xfId="0" applyFont="1" applyFill="1"/>
    <xf numFmtId="49" fontId="4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4" fillId="2" borderId="0" xfId="0" applyNumberFormat="1" applyFont="1" applyFill="1"/>
    <xf numFmtId="0" fontId="25" fillId="2" borderId="0" xfId="0" applyFont="1" applyFill="1"/>
    <xf numFmtId="49" fontId="25" fillId="2" borderId="0" xfId="0" applyNumberFormat="1" applyFont="1" applyFill="1" applyAlignment="1">
      <alignment vertical="center"/>
    </xf>
    <xf numFmtId="4" fontId="25" fillId="2" borderId="0" xfId="0" applyNumberFormat="1" applyFont="1" applyFill="1" applyAlignment="1">
      <alignment horizontal="center"/>
    </xf>
    <xf numFmtId="0" fontId="25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left" vertical="center"/>
    </xf>
    <xf numFmtId="0" fontId="25" fillId="2" borderId="0" xfId="0" applyFont="1" applyFill="1" applyAlignment="1">
      <alignment horizontal="center"/>
    </xf>
    <xf numFmtId="0" fontId="26" fillId="2" borderId="0" xfId="0" applyFont="1" applyFill="1" applyAlignment="1">
      <alignment horizontal="centerContinuous" vertical="center" wrapText="1"/>
    </xf>
    <xf numFmtId="49" fontId="26" fillId="2" borderId="0" xfId="0" applyNumberFormat="1" applyFont="1" applyFill="1" applyAlignment="1">
      <alignment horizontal="centerContinuous" vertical="center" wrapText="1"/>
    </xf>
    <xf numFmtId="4" fontId="26" fillId="2" borderId="0" xfId="0" applyNumberFormat="1" applyFont="1" applyFill="1" applyAlignment="1">
      <alignment horizontal="centerContinuous" vertical="center" wrapText="1"/>
    </xf>
    <xf numFmtId="0" fontId="25" fillId="2" borderId="0" xfId="0" applyFont="1" applyFill="1" applyAlignment="1">
      <alignment horizontal="right"/>
    </xf>
    <xf numFmtId="49" fontId="25" fillId="2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vertical="center" wrapText="1"/>
    </xf>
    <xf numFmtId="49" fontId="25" fillId="2" borderId="1" xfId="0" applyNumberFormat="1" applyFont="1" applyFill="1" applyBorder="1" applyAlignment="1">
      <alignment horizontal="left" vertical="center" wrapText="1"/>
    </xf>
    <xf numFmtId="4" fontId="25" fillId="2" borderId="1" xfId="0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vertical="center"/>
    </xf>
    <xf numFmtId="49" fontId="27" fillId="2" borderId="1" xfId="0" applyNumberFormat="1" applyFont="1" applyFill="1" applyBorder="1" applyAlignment="1">
      <alignment horizontal="left" vertical="center" wrapText="1"/>
    </xf>
    <xf numFmtId="4" fontId="27" fillId="2" borderId="1" xfId="0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vertical="center" wrapText="1"/>
    </xf>
    <xf numFmtId="4" fontId="29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vertical="center"/>
    </xf>
  </cellXfs>
  <cellStyles count="7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2" xfId="44"/>
    <cellStyle name="Обычный 3" xfId="1"/>
    <cellStyle name="Обычный 3 2" xfId="46"/>
    <cellStyle name="Обычный 3 2 2" xfId="69"/>
    <cellStyle name="Обычный 3 3" xfId="45"/>
    <cellStyle name="Обычный 3 3 2" xfId="68"/>
    <cellStyle name="Обычный 3 4" xfId="67"/>
    <cellStyle name="Обычный 4" xfId="47"/>
    <cellStyle name="Обычный 7" xfId="48"/>
    <cellStyle name="Обычный 9" xfId="49"/>
    <cellStyle name="Плохой 2" xfId="50"/>
    <cellStyle name="Пояснение 2" xfId="51"/>
    <cellStyle name="Примечание 10" xfId="52"/>
    <cellStyle name="Примечание 11" xfId="53"/>
    <cellStyle name="Примечание 12" xfId="54"/>
    <cellStyle name="Примечание 13" xfId="55"/>
    <cellStyle name="Примечание 2" xfId="56"/>
    <cellStyle name="Примечание 3" xfId="57"/>
    <cellStyle name="Примечание 4" xfId="58"/>
    <cellStyle name="Примечание 5" xfId="59"/>
    <cellStyle name="Примечание 6" xfId="60"/>
    <cellStyle name="Примечание 7" xfId="61"/>
    <cellStyle name="Примечание 8" xfId="62"/>
    <cellStyle name="Примечание 9" xfId="63"/>
    <cellStyle name="Связанная ячейка 2" xfId="64"/>
    <cellStyle name="Текст предупреждения 2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84"/>
  <sheetViews>
    <sheetView showGridLines="0" tabSelected="1" topLeftCell="B1" zoomScale="90" zoomScaleNormal="90" zoomScaleSheetLayoutView="100" workbookViewId="0">
      <selection activeCell="B1" sqref="B1:F84"/>
    </sheetView>
  </sheetViews>
  <sheetFormatPr defaultColWidth="9" defaultRowHeight="15.75" x14ac:dyDescent="0.25"/>
  <cols>
    <col min="1" max="1" width="17.42578125" style="1" hidden="1" customWidth="1"/>
    <col min="2" max="2" width="23.7109375" style="2" bestFit="1" customWidth="1"/>
    <col min="3" max="3" width="124.42578125" style="3" bestFit="1" customWidth="1"/>
    <col min="4" max="4" width="17.28515625" style="5" bestFit="1" customWidth="1"/>
    <col min="5" max="5" width="17.28515625" style="4" bestFit="1" customWidth="1"/>
    <col min="6" max="6" width="28" style="4" bestFit="1" customWidth="1"/>
    <col min="7" max="7" width="23" style="2" customWidth="1"/>
    <col min="8" max="16384" width="9" style="2"/>
  </cols>
  <sheetData>
    <row r="1" spans="2:7" x14ac:dyDescent="0.25">
      <c r="B1" s="7"/>
      <c r="C1" s="8"/>
      <c r="D1" s="9"/>
      <c r="E1" s="10"/>
      <c r="F1" s="10" t="s">
        <v>73</v>
      </c>
    </row>
    <row r="2" spans="2:7" x14ac:dyDescent="0.25">
      <c r="B2" s="7"/>
      <c r="C2" s="8"/>
      <c r="D2" s="9"/>
      <c r="E2" s="10"/>
      <c r="F2" s="10" t="s">
        <v>74</v>
      </c>
    </row>
    <row r="3" spans="2:7" x14ac:dyDescent="0.25">
      <c r="B3" s="7"/>
      <c r="C3" s="8"/>
      <c r="D3" s="9"/>
      <c r="E3" s="11" t="s">
        <v>106</v>
      </c>
      <c r="F3" s="11" t="s">
        <v>107</v>
      </c>
    </row>
    <row r="4" spans="2:7" x14ac:dyDescent="0.25">
      <c r="B4" s="7"/>
      <c r="C4" s="8"/>
      <c r="D4" s="9"/>
      <c r="E4" s="10"/>
      <c r="F4" s="10" t="s">
        <v>93</v>
      </c>
    </row>
    <row r="5" spans="2:7" x14ac:dyDescent="0.25">
      <c r="B5" s="7"/>
      <c r="C5" s="8"/>
      <c r="D5" s="9"/>
      <c r="E5" s="12"/>
      <c r="F5" s="12"/>
    </row>
    <row r="6" spans="2:7" x14ac:dyDescent="0.25">
      <c r="B6" s="13" t="s">
        <v>98</v>
      </c>
      <c r="C6" s="14"/>
      <c r="D6" s="15"/>
      <c r="E6" s="13"/>
      <c r="F6" s="13"/>
    </row>
    <row r="7" spans="2:7" x14ac:dyDescent="0.25">
      <c r="B7" s="7"/>
      <c r="C7" s="8"/>
      <c r="D7" s="9"/>
      <c r="E7" s="12"/>
      <c r="F7" s="16" t="s">
        <v>75</v>
      </c>
    </row>
    <row r="8" spans="2:7" x14ac:dyDescent="0.25">
      <c r="B8" s="17" t="s">
        <v>0</v>
      </c>
      <c r="C8" s="17" t="s">
        <v>69</v>
      </c>
      <c r="D8" s="18" t="s">
        <v>71</v>
      </c>
      <c r="E8" s="19" t="s">
        <v>70</v>
      </c>
      <c r="F8" s="19"/>
    </row>
    <row r="9" spans="2:7" x14ac:dyDescent="0.25">
      <c r="B9" s="17"/>
      <c r="C9" s="17"/>
      <c r="D9" s="18"/>
      <c r="E9" s="20" t="s">
        <v>72</v>
      </c>
      <c r="F9" s="20" t="s">
        <v>97</v>
      </c>
    </row>
    <row r="10" spans="2:7" x14ac:dyDescent="0.25">
      <c r="B10" s="21" t="s">
        <v>76</v>
      </c>
      <c r="C10" s="21" t="s">
        <v>77</v>
      </c>
      <c r="D10" s="22" t="s">
        <v>78</v>
      </c>
      <c r="E10" s="20">
        <v>4</v>
      </c>
      <c r="F10" s="20">
        <v>5</v>
      </c>
    </row>
    <row r="11" spans="2:7" x14ac:dyDescent="0.25">
      <c r="B11" s="23" t="s">
        <v>1</v>
      </c>
      <c r="C11" s="24" t="s">
        <v>2</v>
      </c>
      <c r="D11" s="25">
        <f>D12+D76+D79</f>
        <v>1868532805.1699998</v>
      </c>
      <c r="E11" s="25">
        <f>E12+E76+E79</f>
        <v>2592525975.5899997</v>
      </c>
      <c r="F11" s="25">
        <f>F12+F76+F79</f>
        <v>1501909866.5699999</v>
      </c>
    </row>
    <row r="12" spans="2:7" ht="28.5" x14ac:dyDescent="0.25">
      <c r="B12" s="23" t="s">
        <v>3</v>
      </c>
      <c r="C12" s="24" t="s">
        <v>4</v>
      </c>
      <c r="D12" s="25">
        <f>D14+D17+D43+D71</f>
        <v>1871955626.01</v>
      </c>
      <c r="E12" s="25">
        <f>E14+E17+E43+E71</f>
        <v>2592525975.5899997</v>
      </c>
      <c r="F12" s="25">
        <f>F14+F17+F43+F71</f>
        <v>1501909866.5699999</v>
      </c>
      <c r="G12" s="6"/>
    </row>
    <row r="13" spans="2:7" x14ac:dyDescent="0.25">
      <c r="B13" s="23"/>
      <c r="C13" s="26" t="s">
        <v>34</v>
      </c>
      <c r="D13" s="25"/>
      <c r="E13" s="25"/>
      <c r="F13" s="25"/>
    </row>
    <row r="14" spans="2:7" x14ac:dyDescent="0.25">
      <c r="B14" s="23" t="s">
        <v>51</v>
      </c>
      <c r="C14" s="24" t="s">
        <v>52</v>
      </c>
      <c r="D14" s="25">
        <f>SUM(D15:D16)</f>
        <v>248331262</v>
      </c>
      <c r="E14" s="25">
        <f t="shared" ref="E14:F14" si="0">SUM(E15:E16)</f>
        <v>30795100</v>
      </c>
      <c r="F14" s="25">
        <f t="shared" si="0"/>
        <v>0</v>
      </c>
    </row>
    <row r="15" spans="2:7" x14ac:dyDescent="0.25">
      <c r="B15" s="21" t="s">
        <v>53</v>
      </c>
      <c r="C15" s="27" t="s">
        <v>54</v>
      </c>
      <c r="D15" s="28">
        <f>54530200+29360600+212620+17977682+3831500+140664400+1754260</f>
        <v>248331262</v>
      </c>
      <c r="E15" s="28">
        <v>30795100</v>
      </c>
      <c r="F15" s="28">
        <v>0</v>
      </c>
    </row>
    <row r="16" spans="2:7" x14ac:dyDescent="0.25">
      <c r="B16" s="21" t="s">
        <v>55</v>
      </c>
      <c r="C16" s="27" t="s">
        <v>56</v>
      </c>
      <c r="D16" s="28">
        <v>0</v>
      </c>
      <c r="E16" s="28">
        <v>0</v>
      </c>
      <c r="F16" s="28">
        <v>0</v>
      </c>
    </row>
    <row r="17" spans="2:6" x14ac:dyDescent="0.25">
      <c r="B17" s="23" t="s">
        <v>5</v>
      </c>
      <c r="C17" s="24" t="s">
        <v>6</v>
      </c>
      <c r="D17" s="25">
        <f>SUM(D21:D31)+D18</f>
        <v>475099892.22999996</v>
      </c>
      <c r="E17" s="25">
        <f t="shared" ref="E17:F17" si="1">SUM(E21:E31)+E18</f>
        <v>1247736660.6599998</v>
      </c>
      <c r="F17" s="25">
        <f t="shared" si="1"/>
        <v>73028764.019999996</v>
      </c>
    </row>
    <row r="18" spans="2:6" x14ac:dyDescent="0.25">
      <c r="B18" s="28" t="s">
        <v>38</v>
      </c>
      <c r="C18" s="27" t="s">
        <v>7</v>
      </c>
      <c r="D18" s="28">
        <f>D19+D20</f>
        <v>234761716.49000001</v>
      </c>
      <c r="E18" s="28">
        <v>526400000</v>
      </c>
      <c r="F18" s="28">
        <v>0</v>
      </c>
    </row>
    <row r="19" spans="2:6" x14ac:dyDescent="0.25">
      <c r="B19" s="29" t="s">
        <v>99</v>
      </c>
      <c r="C19" s="30" t="s">
        <v>44</v>
      </c>
      <c r="D19" s="31">
        <f>119823228.18-28.18+51331764.57-51331764.57</f>
        <v>119823200</v>
      </c>
      <c r="E19" s="32">
        <v>0</v>
      </c>
      <c r="F19" s="32">
        <v>0</v>
      </c>
    </row>
    <row r="20" spans="2:6" x14ac:dyDescent="0.25">
      <c r="B20" s="29"/>
      <c r="C20" s="30" t="s">
        <v>127</v>
      </c>
      <c r="D20" s="31">
        <v>114938516.48999999</v>
      </c>
      <c r="E20" s="32"/>
      <c r="F20" s="32"/>
    </row>
    <row r="21" spans="2:6" ht="45" x14ac:dyDescent="0.25">
      <c r="B21" s="28" t="s">
        <v>90</v>
      </c>
      <c r="C21" s="27" t="s">
        <v>91</v>
      </c>
      <c r="D21" s="28">
        <v>0</v>
      </c>
      <c r="E21" s="28">
        <v>0</v>
      </c>
      <c r="F21" s="28">
        <v>0</v>
      </c>
    </row>
    <row r="22" spans="2:6" ht="45" x14ac:dyDescent="0.25">
      <c r="B22" s="28" t="s">
        <v>45</v>
      </c>
      <c r="C22" s="27" t="s">
        <v>41</v>
      </c>
      <c r="D22" s="28">
        <v>0</v>
      </c>
      <c r="E22" s="28">
        <v>0</v>
      </c>
      <c r="F22" s="28">
        <v>0</v>
      </c>
    </row>
    <row r="23" spans="2:6" ht="30" x14ac:dyDescent="0.25">
      <c r="B23" s="28" t="s">
        <v>104</v>
      </c>
      <c r="C23" s="27" t="s">
        <v>105</v>
      </c>
      <c r="D23" s="28">
        <v>40725463.920000002</v>
      </c>
      <c r="E23" s="28">
        <v>0</v>
      </c>
      <c r="F23" s="28">
        <v>0</v>
      </c>
    </row>
    <row r="24" spans="2:6" x14ac:dyDescent="0.25">
      <c r="B24" s="28" t="s">
        <v>39</v>
      </c>
      <c r="C24" s="27" t="s">
        <v>86</v>
      </c>
      <c r="D24" s="28">
        <f>469000+29.18</f>
        <v>469029.18</v>
      </c>
      <c r="E24" s="28">
        <v>0</v>
      </c>
      <c r="F24" s="28">
        <v>0</v>
      </c>
    </row>
    <row r="25" spans="2:6" ht="30" x14ac:dyDescent="0.25">
      <c r="B25" s="28" t="s">
        <v>8</v>
      </c>
      <c r="C25" s="27" t="s">
        <v>9</v>
      </c>
      <c r="D25" s="28">
        <f>259127700-259127700</f>
        <v>0</v>
      </c>
      <c r="E25" s="28">
        <v>259127700</v>
      </c>
      <c r="F25" s="28">
        <v>0</v>
      </c>
    </row>
    <row r="26" spans="2:6" x14ac:dyDescent="0.25">
      <c r="B26" s="22" t="s">
        <v>10</v>
      </c>
      <c r="C26" s="27" t="s">
        <v>11</v>
      </c>
      <c r="D26" s="22">
        <v>3923147.34</v>
      </c>
      <c r="E26" s="28">
        <f>2749200-26.37</f>
        <v>2749173.63</v>
      </c>
      <c r="F26" s="28">
        <f>2763600-2.2</f>
        <v>2763597.8</v>
      </c>
    </row>
    <row r="27" spans="2:6" ht="30" x14ac:dyDescent="0.25">
      <c r="B27" s="22" t="s">
        <v>103</v>
      </c>
      <c r="C27" s="27" t="s">
        <v>102</v>
      </c>
      <c r="D27" s="22">
        <f>7303900+102061900-28-28.87+111624.74+175947.06+14391867.6</f>
        <v>124045182.52999999</v>
      </c>
      <c r="E27" s="28">
        <f>283741128</f>
        <v>283741128</v>
      </c>
      <c r="F27" s="28">
        <v>0</v>
      </c>
    </row>
    <row r="28" spans="2:6" x14ac:dyDescent="0.25">
      <c r="B28" s="22" t="s">
        <v>100</v>
      </c>
      <c r="C28" s="27" t="s">
        <v>101</v>
      </c>
      <c r="D28" s="22">
        <v>2000000</v>
      </c>
      <c r="E28" s="28">
        <v>0</v>
      </c>
      <c r="F28" s="28">
        <v>0</v>
      </c>
    </row>
    <row r="29" spans="2:6" x14ac:dyDescent="0.25">
      <c r="B29" s="22" t="s">
        <v>12</v>
      </c>
      <c r="C29" s="27" t="s">
        <v>13</v>
      </c>
      <c r="D29" s="22">
        <f>20089200+8.58+637507.34+136502.05</f>
        <v>20863217.969999999</v>
      </c>
      <c r="E29" s="28">
        <v>0</v>
      </c>
      <c r="F29" s="28">
        <v>0</v>
      </c>
    </row>
    <row r="30" spans="2:6" ht="30" x14ac:dyDescent="0.25">
      <c r="B30" s="22" t="s">
        <v>89</v>
      </c>
      <c r="C30" s="27" t="s">
        <v>88</v>
      </c>
      <c r="D30" s="22">
        <v>0</v>
      </c>
      <c r="E30" s="28">
        <v>15000000</v>
      </c>
      <c r="F30" s="28">
        <v>0</v>
      </c>
    </row>
    <row r="31" spans="2:6" x14ac:dyDescent="0.25">
      <c r="B31" s="21" t="s">
        <v>14</v>
      </c>
      <c r="C31" s="27" t="s">
        <v>15</v>
      </c>
      <c r="D31" s="22">
        <f>SUM(D32:D42)</f>
        <v>48312134.799999997</v>
      </c>
      <c r="E31" s="22">
        <f t="shared" ref="E31:F31" si="2">SUM(E32:E42)</f>
        <v>160718659.03</v>
      </c>
      <c r="F31" s="22">
        <f t="shared" si="2"/>
        <v>70265166.219999999</v>
      </c>
    </row>
    <row r="32" spans="2:6" ht="30" x14ac:dyDescent="0.25">
      <c r="B32" s="28" t="s">
        <v>14</v>
      </c>
      <c r="C32" s="33" t="s">
        <v>57</v>
      </c>
      <c r="D32" s="28">
        <f>6263649.27+37029.28-709401.93</f>
        <v>5591276.6200000001</v>
      </c>
      <c r="E32" s="28">
        <v>6263649.2699999996</v>
      </c>
      <c r="F32" s="28">
        <v>6262380.5999999996</v>
      </c>
    </row>
    <row r="33" spans="2:6" ht="30" x14ac:dyDescent="0.25">
      <c r="B33" s="28" t="s">
        <v>14</v>
      </c>
      <c r="C33" s="33" t="s">
        <v>58</v>
      </c>
      <c r="D33" s="28">
        <f>3856613.2-499781.08</f>
        <v>3356832.12</v>
      </c>
      <c r="E33" s="28">
        <v>3856613.2</v>
      </c>
      <c r="F33" s="28">
        <v>3856613.2</v>
      </c>
    </row>
    <row r="34" spans="2:6" ht="30" x14ac:dyDescent="0.25">
      <c r="B34" s="28" t="s">
        <v>14</v>
      </c>
      <c r="C34" s="33" t="s">
        <v>46</v>
      </c>
      <c r="D34" s="28">
        <v>2000000</v>
      </c>
      <c r="E34" s="28">
        <v>2000000</v>
      </c>
      <c r="F34" s="28">
        <v>2000000</v>
      </c>
    </row>
    <row r="35" spans="2:6" ht="30" x14ac:dyDescent="0.25">
      <c r="B35" s="28" t="s">
        <v>14</v>
      </c>
      <c r="C35" s="33" t="s">
        <v>47</v>
      </c>
      <c r="D35" s="28">
        <v>0</v>
      </c>
      <c r="E35" s="28">
        <v>4000000</v>
      </c>
      <c r="F35" s="28">
        <v>0</v>
      </c>
    </row>
    <row r="36" spans="2:6" ht="30" x14ac:dyDescent="0.25">
      <c r="B36" s="28" t="s">
        <v>14</v>
      </c>
      <c r="C36" s="33" t="s">
        <v>27</v>
      </c>
      <c r="D36" s="28">
        <f>1086800-16.41</f>
        <v>1086783.5900000001</v>
      </c>
      <c r="E36" s="28">
        <f>1086800-16.41</f>
        <v>1086783.5900000001</v>
      </c>
      <c r="F36" s="28">
        <f>1086800-16.41</f>
        <v>1086783.5900000001</v>
      </c>
    </row>
    <row r="37" spans="2:6" ht="30" x14ac:dyDescent="0.25">
      <c r="B37" s="28" t="s">
        <v>28</v>
      </c>
      <c r="C37" s="33" t="s">
        <v>29</v>
      </c>
      <c r="D37" s="28">
        <f>24582000-7.81-3620132.88</f>
        <v>20961859.310000002</v>
      </c>
      <c r="E37" s="28">
        <f>23155200+6.63</f>
        <v>23155206.629999999</v>
      </c>
      <c r="F37" s="28">
        <f>23155200+6.63</f>
        <v>23155206.629999999</v>
      </c>
    </row>
    <row r="38" spans="2:6" ht="45" x14ac:dyDescent="0.25">
      <c r="B38" s="28" t="s">
        <v>14</v>
      </c>
      <c r="C38" s="33" t="s">
        <v>40</v>
      </c>
      <c r="D38" s="28">
        <v>1875600</v>
      </c>
      <c r="E38" s="28">
        <v>234400</v>
      </c>
      <c r="F38" s="28">
        <f>234400+100</f>
        <v>234500</v>
      </c>
    </row>
    <row r="39" spans="2:6" ht="30" x14ac:dyDescent="0.25">
      <c r="B39" s="28" t="s">
        <v>14</v>
      </c>
      <c r="C39" s="33" t="s">
        <v>59</v>
      </c>
      <c r="D39" s="28">
        <f>1604100-48.75+1265719.23</f>
        <v>2869770.48</v>
      </c>
      <c r="E39" s="28">
        <v>0</v>
      </c>
      <c r="F39" s="28">
        <v>0</v>
      </c>
    </row>
    <row r="40" spans="2:6" ht="30" x14ac:dyDescent="0.25">
      <c r="B40" s="28" t="s">
        <v>14</v>
      </c>
      <c r="C40" s="33" t="s">
        <v>94</v>
      </c>
      <c r="D40" s="28">
        <f>8714900+4-1292494.41-1911139.99</f>
        <v>5511269.5999999996</v>
      </c>
      <c r="E40" s="28">
        <f>313669700-17.8-53276077.78-24304362.36-102600629.2-16473419.32</f>
        <v>117015193.53999999</v>
      </c>
      <c r="F40" s="28">
        <f>33669700-17.8</f>
        <v>33669682.200000003</v>
      </c>
    </row>
    <row r="41" spans="2:6" ht="30" x14ac:dyDescent="0.25">
      <c r="B41" s="28" t="s">
        <v>14</v>
      </c>
      <c r="C41" s="33" t="s">
        <v>124</v>
      </c>
      <c r="D41" s="28">
        <v>2000000</v>
      </c>
      <c r="E41" s="28">
        <v>0</v>
      </c>
      <c r="F41" s="28">
        <v>0</v>
      </c>
    </row>
    <row r="42" spans="2:6" ht="30" x14ac:dyDescent="0.25">
      <c r="B42" s="28" t="s">
        <v>14</v>
      </c>
      <c r="C42" s="33" t="s">
        <v>95</v>
      </c>
      <c r="D42" s="28">
        <v>3058743.08</v>
      </c>
      <c r="E42" s="28">
        <v>3106812.8</v>
      </c>
      <c r="F42" s="28">
        <v>0</v>
      </c>
    </row>
    <row r="43" spans="2:6" x14ac:dyDescent="0.25">
      <c r="B43" s="23" t="s">
        <v>16</v>
      </c>
      <c r="C43" s="24" t="s">
        <v>17</v>
      </c>
      <c r="D43" s="25">
        <f>SUM(D44:D50)</f>
        <v>1145567533.95</v>
      </c>
      <c r="E43" s="25">
        <f t="shared" ref="E43:F43" si="3">SUM(E44:E50)</f>
        <v>1078235377.0999999</v>
      </c>
      <c r="F43" s="25">
        <f t="shared" si="3"/>
        <v>1112474320.8199999</v>
      </c>
    </row>
    <row r="44" spans="2:6" ht="30" x14ac:dyDescent="0.25">
      <c r="B44" s="28" t="s">
        <v>18</v>
      </c>
      <c r="C44" s="26" t="s">
        <v>60</v>
      </c>
      <c r="D44" s="28">
        <f>36546700-22.13-1103585.68-781165.81</f>
        <v>34661926.379999995</v>
      </c>
      <c r="E44" s="28">
        <f>38064900+43.92</f>
        <v>38064943.920000002</v>
      </c>
      <c r="F44" s="28">
        <f>38064900+43.92</f>
        <v>38064943.920000002</v>
      </c>
    </row>
    <row r="45" spans="2:6" ht="45" x14ac:dyDescent="0.25">
      <c r="B45" s="28" t="s">
        <v>19</v>
      </c>
      <c r="C45" s="26" t="s">
        <v>61</v>
      </c>
      <c r="D45" s="28">
        <f>55025700+36.03-9637542.05-8666998.97</f>
        <v>36721195.010000005</v>
      </c>
      <c r="E45" s="28">
        <f>56002400+5.04</f>
        <v>56002405.039999999</v>
      </c>
      <c r="F45" s="28">
        <f>56686800+42.39</f>
        <v>56686842.390000001</v>
      </c>
    </row>
    <row r="46" spans="2:6" ht="30" x14ac:dyDescent="0.25">
      <c r="B46" s="28" t="s">
        <v>48</v>
      </c>
      <c r="C46" s="26" t="s">
        <v>20</v>
      </c>
      <c r="D46" s="28">
        <f>38556800+4-427320</f>
        <v>38129484</v>
      </c>
      <c r="E46" s="28">
        <f>45539500+21.5+25274436</f>
        <v>70813957.5</v>
      </c>
      <c r="F46" s="28">
        <f>51212200+5</f>
        <v>51212205</v>
      </c>
    </row>
    <row r="47" spans="2:6" ht="30" x14ac:dyDescent="0.25">
      <c r="B47" s="28" t="s">
        <v>21</v>
      </c>
      <c r="C47" s="27" t="s">
        <v>22</v>
      </c>
      <c r="D47" s="28">
        <f>19200+43</f>
        <v>19243</v>
      </c>
      <c r="E47" s="28">
        <f>20100-48</f>
        <v>20052</v>
      </c>
      <c r="F47" s="28">
        <f>274600-33</f>
        <v>274567</v>
      </c>
    </row>
    <row r="48" spans="2:6" ht="60" x14ac:dyDescent="0.25">
      <c r="B48" s="28" t="s">
        <v>35</v>
      </c>
      <c r="C48" s="27" t="s">
        <v>87</v>
      </c>
      <c r="D48" s="28">
        <f>37146060+6191010+25545240</f>
        <v>68882310</v>
      </c>
      <c r="E48" s="28">
        <v>37146060</v>
      </c>
      <c r="F48" s="28">
        <v>37146060</v>
      </c>
    </row>
    <row r="49" spans="2:7" ht="30" x14ac:dyDescent="0.25">
      <c r="B49" s="28" t="s">
        <v>36</v>
      </c>
      <c r="C49" s="26" t="s">
        <v>37</v>
      </c>
      <c r="D49" s="28">
        <f>48734700-371-5486698</f>
        <v>43247631</v>
      </c>
      <c r="E49" s="28">
        <v>45324160</v>
      </c>
      <c r="F49" s="28">
        <v>45324160</v>
      </c>
    </row>
    <row r="50" spans="2:7" x14ac:dyDescent="0.25">
      <c r="B50" s="21" t="s">
        <v>23</v>
      </c>
      <c r="C50" s="27" t="s">
        <v>24</v>
      </c>
      <c r="D50" s="22">
        <f>SUM(D51:D70)</f>
        <v>923905744.56000006</v>
      </c>
      <c r="E50" s="22">
        <f t="shared" ref="E50:F50" si="4">SUM(E51:E70)</f>
        <v>830863798.63999999</v>
      </c>
      <c r="F50" s="22">
        <f t="shared" si="4"/>
        <v>883765542.50999999</v>
      </c>
      <c r="G50" s="6"/>
    </row>
    <row r="51" spans="2:7" ht="30" x14ac:dyDescent="0.25">
      <c r="B51" s="28" t="s">
        <v>23</v>
      </c>
      <c r="C51" s="33" t="s">
        <v>30</v>
      </c>
      <c r="D51" s="28">
        <f>3874000+15.08-814433.61</f>
        <v>3059581.47</v>
      </c>
      <c r="E51" s="28">
        <f>3269400+26.48</f>
        <v>3269426.48</v>
      </c>
      <c r="F51" s="28">
        <f>2677500-18.07</f>
        <v>2677481.9300000002</v>
      </c>
    </row>
    <row r="52" spans="2:7" ht="45" x14ac:dyDescent="0.25">
      <c r="B52" s="28" t="s">
        <v>23</v>
      </c>
      <c r="C52" s="33" t="s">
        <v>92</v>
      </c>
      <c r="D52" s="28">
        <f>22541000+29.5+28688583</f>
        <v>51229612.5</v>
      </c>
      <c r="E52" s="28">
        <v>0</v>
      </c>
      <c r="F52" s="28">
        <v>0</v>
      </c>
    </row>
    <row r="53" spans="2:7" ht="45" x14ac:dyDescent="0.25">
      <c r="B53" s="28" t="s">
        <v>23</v>
      </c>
      <c r="C53" s="33" t="s">
        <v>31</v>
      </c>
      <c r="D53" s="34">
        <f>366600-12.9+172131.5-2564</f>
        <v>536154.6</v>
      </c>
      <c r="E53" s="28">
        <f>273200+37.2</f>
        <v>273237.2</v>
      </c>
      <c r="F53" s="28">
        <f>307300-26.8</f>
        <v>307273.2</v>
      </c>
    </row>
    <row r="54" spans="2:7" ht="75" x14ac:dyDescent="0.25">
      <c r="B54" s="22" t="s">
        <v>32</v>
      </c>
      <c r="C54" s="33" t="s">
        <v>79</v>
      </c>
      <c r="D54" s="22">
        <f>625494999.47+0.11+10015888.39+19915544.75+15709400.11+11738845.25+402430.76+917525.83+5412647.54+7375299.23</f>
        <v>696982581.44000006</v>
      </c>
      <c r="E54" s="22">
        <v>692292556.30999994</v>
      </c>
      <c r="F54" s="22">
        <v>735720361.28999996</v>
      </c>
    </row>
    <row r="55" spans="2:7" ht="30" x14ac:dyDescent="0.25">
      <c r="B55" s="28" t="s">
        <v>32</v>
      </c>
      <c r="C55" s="33" t="s">
        <v>80</v>
      </c>
      <c r="D55" s="22">
        <f>1101700+5.05</f>
        <v>1101705.05</v>
      </c>
      <c r="E55" s="22">
        <f>1101700+5.05</f>
        <v>1101705.05</v>
      </c>
      <c r="F55" s="22">
        <f>1101700+5.05</f>
        <v>1101705.05</v>
      </c>
    </row>
    <row r="56" spans="2:7" ht="45" x14ac:dyDescent="0.25">
      <c r="B56" s="28" t="s">
        <v>32</v>
      </c>
      <c r="C56" s="33" t="s">
        <v>81</v>
      </c>
      <c r="D56" s="22">
        <v>1267455.8500000001</v>
      </c>
      <c r="E56" s="28">
        <v>1267455.8500000001</v>
      </c>
      <c r="F56" s="28">
        <v>1267455.8500000001</v>
      </c>
    </row>
    <row r="57" spans="2:7" ht="30" x14ac:dyDescent="0.25">
      <c r="B57" s="28" t="s">
        <v>32</v>
      </c>
      <c r="C57" s="33" t="s">
        <v>42</v>
      </c>
      <c r="D57" s="28">
        <f>95795400-44.94+27100000+17847795.74</f>
        <v>140743150.80000001</v>
      </c>
      <c r="E57" s="22">
        <f>108982200-47.53</f>
        <v>108982152.47</v>
      </c>
      <c r="F57" s="22">
        <f>119014000-0.09</f>
        <v>119013999.91</v>
      </c>
    </row>
    <row r="58" spans="2:7" ht="30" x14ac:dyDescent="0.25">
      <c r="B58" s="22" t="s">
        <v>32</v>
      </c>
      <c r="C58" s="33" t="s">
        <v>82</v>
      </c>
      <c r="D58" s="22">
        <f>2474700+15</f>
        <v>2474715</v>
      </c>
      <c r="E58" s="22">
        <f>2474700+15</f>
        <v>2474715</v>
      </c>
      <c r="F58" s="22">
        <f>2474700+15</f>
        <v>2474715</v>
      </c>
    </row>
    <row r="59" spans="2:7" ht="60" x14ac:dyDescent="0.25">
      <c r="B59" s="28" t="s">
        <v>32</v>
      </c>
      <c r="C59" s="33" t="s">
        <v>85</v>
      </c>
      <c r="D59" s="28">
        <f>802235.52-35.52</f>
        <v>802200</v>
      </c>
      <c r="E59" s="28">
        <f>802235.52-35.52</f>
        <v>802200</v>
      </c>
      <c r="F59" s="28">
        <f>802235.52-35.52</f>
        <v>802200</v>
      </c>
    </row>
    <row r="60" spans="2:7" ht="30" x14ac:dyDescent="0.25">
      <c r="B60" s="22" t="s">
        <v>32</v>
      </c>
      <c r="C60" s="33" t="s">
        <v>83</v>
      </c>
      <c r="D60" s="22">
        <f>4790100+38</f>
        <v>4790138</v>
      </c>
      <c r="E60" s="28">
        <f>4790100+38</f>
        <v>4790138</v>
      </c>
      <c r="F60" s="28">
        <f>4790100+38</f>
        <v>4790138</v>
      </c>
    </row>
    <row r="61" spans="2:7" ht="75" x14ac:dyDescent="0.25">
      <c r="B61" s="22" t="s">
        <v>32</v>
      </c>
      <c r="C61" s="33" t="s">
        <v>84</v>
      </c>
      <c r="D61" s="22">
        <f>462.05+0.56</f>
        <v>462.61</v>
      </c>
      <c r="E61" s="28">
        <f>462.05+0.56</f>
        <v>462.61</v>
      </c>
      <c r="F61" s="28">
        <f>400+62.61</f>
        <v>462.61</v>
      </c>
    </row>
    <row r="62" spans="2:7" ht="45" x14ac:dyDescent="0.25">
      <c r="B62" s="28" t="s">
        <v>32</v>
      </c>
      <c r="C62" s="33" t="s">
        <v>33</v>
      </c>
      <c r="D62" s="28">
        <f>149200+61.84-24977.31</f>
        <v>124284.53</v>
      </c>
      <c r="E62" s="28">
        <f>155200-26.8</f>
        <v>155173.20000000001</v>
      </c>
      <c r="F62" s="28">
        <f>155200-26.8</f>
        <v>155173.20000000001</v>
      </c>
    </row>
    <row r="63" spans="2:7" ht="30" x14ac:dyDescent="0.25">
      <c r="B63" s="28" t="s">
        <v>32</v>
      </c>
      <c r="C63" s="33" t="s">
        <v>43</v>
      </c>
      <c r="D63" s="28">
        <f>3851000-31.77</f>
        <v>3850968.23</v>
      </c>
      <c r="E63" s="28">
        <f>3851000-31.77</f>
        <v>3850968.23</v>
      </c>
      <c r="F63" s="28">
        <f>3851000-31.77</f>
        <v>3850968.23</v>
      </c>
    </row>
    <row r="64" spans="2:7" ht="45" x14ac:dyDescent="0.25">
      <c r="B64" s="28" t="s">
        <v>32</v>
      </c>
      <c r="C64" s="33" t="s">
        <v>62</v>
      </c>
      <c r="D64" s="28">
        <f>201000-30</f>
        <v>200970</v>
      </c>
      <c r="E64" s="28">
        <f>201000-30</f>
        <v>200970</v>
      </c>
      <c r="F64" s="28">
        <f>201000-30</f>
        <v>200970</v>
      </c>
    </row>
    <row r="65" spans="2:6" ht="90" x14ac:dyDescent="0.25">
      <c r="B65" s="28" t="s">
        <v>32</v>
      </c>
      <c r="C65" s="33" t="s">
        <v>63</v>
      </c>
      <c r="D65" s="28">
        <f>2872600+28.64+478771.44+1975498.56</f>
        <v>5326898.6400000006</v>
      </c>
      <c r="E65" s="28">
        <f>2872600+28.64</f>
        <v>2872628.64</v>
      </c>
      <c r="F65" s="28">
        <f>2872600+28.64</f>
        <v>2872628.64</v>
      </c>
    </row>
    <row r="66" spans="2:6" ht="60" x14ac:dyDescent="0.25">
      <c r="B66" s="28" t="s">
        <v>23</v>
      </c>
      <c r="C66" s="33" t="s">
        <v>64</v>
      </c>
      <c r="D66" s="28">
        <f>572000-136.4+22262.31+1908.06-3703.91-54866.98</f>
        <v>537463.08000000007</v>
      </c>
      <c r="E66" s="22">
        <f>533200+9.6</f>
        <v>533209.59999999998</v>
      </c>
      <c r="F66" s="22">
        <f>533200+9.6</f>
        <v>533209.59999999998</v>
      </c>
    </row>
    <row r="67" spans="2:6" ht="75" x14ac:dyDescent="0.25">
      <c r="B67" s="28" t="s">
        <v>23</v>
      </c>
      <c r="C67" s="33" t="s">
        <v>65</v>
      </c>
      <c r="D67" s="28">
        <f>7996800+2092440-916440</f>
        <v>9172800</v>
      </c>
      <c r="E67" s="28">
        <v>7996800</v>
      </c>
      <c r="F67" s="28">
        <v>7996800</v>
      </c>
    </row>
    <row r="68" spans="2:6" ht="60" x14ac:dyDescent="0.25">
      <c r="B68" s="28" t="s">
        <v>23</v>
      </c>
      <c r="C68" s="33" t="s">
        <v>66</v>
      </c>
      <c r="D68" s="28">
        <f>454900-40+133791+190806+546420</f>
        <v>1325877</v>
      </c>
      <c r="E68" s="22">
        <v>0</v>
      </c>
      <c r="F68" s="22">
        <v>0</v>
      </c>
    </row>
    <row r="69" spans="2:6" ht="60" x14ac:dyDescent="0.25">
      <c r="B69" s="28" t="s">
        <v>23</v>
      </c>
      <c r="C69" s="33" t="s">
        <v>130</v>
      </c>
      <c r="D69" s="28">
        <v>27185.759999999998</v>
      </c>
      <c r="E69" s="22">
        <v>0</v>
      </c>
      <c r="F69" s="22">
        <v>0</v>
      </c>
    </row>
    <row r="70" spans="2:6" ht="60" x14ac:dyDescent="0.25">
      <c r="B70" s="28" t="s">
        <v>23</v>
      </c>
      <c r="C70" s="33" t="s">
        <v>131</v>
      </c>
      <c r="D70" s="28">
        <v>351540</v>
      </c>
      <c r="E70" s="28">
        <v>0</v>
      </c>
      <c r="F70" s="22">
        <v>0</v>
      </c>
    </row>
    <row r="71" spans="2:6" x14ac:dyDescent="0.25">
      <c r="B71" s="23" t="s">
        <v>25</v>
      </c>
      <c r="C71" s="24" t="s">
        <v>26</v>
      </c>
      <c r="D71" s="25">
        <f>SUM(D72:D75)</f>
        <v>2956937.83</v>
      </c>
      <c r="E71" s="25">
        <f>SUM(E72:E75)</f>
        <v>235758837.83000001</v>
      </c>
      <c r="F71" s="25">
        <f>SUM(F72:F75)</f>
        <v>316406781.73000002</v>
      </c>
    </row>
    <row r="72" spans="2:6" ht="45" x14ac:dyDescent="0.25">
      <c r="B72" s="28" t="s">
        <v>67</v>
      </c>
      <c r="C72" s="26" t="s">
        <v>68</v>
      </c>
      <c r="D72" s="28">
        <v>2956937.83</v>
      </c>
      <c r="E72" s="28">
        <v>2956937.83</v>
      </c>
      <c r="F72" s="22">
        <v>3574381.73</v>
      </c>
    </row>
    <row r="73" spans="2:6" ht="30" x14ac:dyDescent="0.25">
      <c r="B73" s="28" t="s">
        <v>50</v>
      </c>
      <c r="C73" s="27" t="s">
        <v>49</v>
      </c>
      <c r="D73" s="22">
        <f>102061900-102061900</f>
        <v>0</v>
      </c>
      <c r="E73" s="22">
        <f>283741100-283741100</f>
        <v>0</v>
      </c>
      <c r="F73" s="22">
        <v>0</v>
      </c>
    </row>
    <row r="74" spans="2:6" x14ac:dyDescent="0.25">
      <c r="B74" s="28" t="s">
        <v>96</v>
      </c>
      <c r="C74" s="27" t="s">
        <v>132</v>
      </c>
      <c r="D74" s="22">
        <v>0</v>
      </c>
      <c r="E74" s="22">
        <f>130000000+102801900</f>
        <v>232801900</v>
      </c>
      <c r="F74" s="22">
        <f>130000000+182832400</f>
        <v>312832400</v>
      </c>
    </row>
    <row r="75" spans="2:6" x14ac:dyDescent="0.25">
      <c r="B75" s="28" t="s">
        <v>128</v>
      </c>
      <c r="C75" s="27" t="s">
        <v>129</v>
      </c>
      <c r="D75" s="22">
        <v>0</v>
      </c>
      <c r="E75" s="22">
        <v>0</v>
      </c>
      <c r="F75" s="22">
        <v>0</v>
      </c>
    </row>
    <row r="76" spans="2:6" ht="42.75" x14ac:dyDescent="0.25">
      <c r="B76" s="23" t="s">
        <v>108</v>
      </c>
      <c r="C76" s="24" t="s">
        <v>109</v>
      </c>
      <c r="D76" s="25">
        <f>D77+D78</f>
        <v>14722831.35</v>
      </c>
      <c r="E76" s="25">
        <v>0</v>
      </c>
      <c r="F76" s="25">
        <v>0</v>
      </c>
    </row>
    <row r="77" spans="2:6" x14ac:dyDescent="0.25">
      <c r="B77" s="21" t="s">
        <v>110</v>
      </c>
      <c r="C77" s="27" t="s">
        <v>111</v>
      </c>
      <c r="D77" s="28">
        <v>5231137.67</v>
      </c>
      <c r="E77" s="28">
        <v>0</v>
      </c>
      <c r="F77" s="22">
        <v>0</v>
      </c>
    </row>
    <row r="78" spans="2:6" x14ac:dyDescent="0.25">
      <c r="B78" s="21" t="s">
        <v>112</v>
      </c>
      <c r="C78" s="27" t="s">
        <v>113</v>
      </c>
      <c r="D78" s="22">
        <f>9481220+10473.68</f>
        <v>9491693.6799999997</v>
      </c>
      <c r="E78" s="22">
        <v>0</v>
      </c>
      <c r="F78" s="22">
        <v>0</v>
      </c>
    </row>
    <row r="79" spans="2:6" ht="28.5" x14ac:dyDescent="0.25">
      <c r="B79" s="23" t="s">
        <v>114</v>
      </c>
      <c r="C79" s="24" t="s">
        <v>115</v>
      </c>
      <c r="D79" s="25">
        <f>SUM(D80:D84)</f>
        <v>-18145652.189999998</v>
      </c>
      <c r="E79" s="25">
        <v>0</v>
      </c>
      <c r="F79" s="25">
        <v>0</v>
      </c>
    </row>
    <row r="80" spans="2:6" ht="30" x14ac:dyDescent="0.25">
      <c r="B80" s="35" t="s">
        <v>116</v>
      </c>
      <c r="C80" s="26" t="s">
        <v>117</v>
      </c>
      <c r="D80" s="28">
        <f>-1978238.1</f>
        <v>-1978238.1</v>
      </c>
      <c r="E80" s="28">
        <v>0</v>
      </c>
      <c r="F80" s="22">
        <v>0</v>
      </c>
    </row>
    <row r="81" spans="2:6" ht="30" x14ac:dyDescent="0.25">
      <c r="B81" s="35" t="s">
        <v>118</v>
      </c>
      <c r="C81" s="26" t="s">
        <v>119</v>
      </c>
      <c r="D81" s="22">
        <v>-9481220</v>
      </c>
      <c r="E81" s="22">
        <v>0</v>
      </c>
      <c r="F81" s="22">
        <v>0</v>
      </c>
    </row>
    <row r="82" spans="2:6" ht="45" x14ac:dyDescent="0.25">
      <c r="B82" s="20" t="s">
        <v>122</v>
      </c>
      <c r="C82" s="26" t="s">
        <v>123</v>
      </c>
      <c r="D82" s="22">
        <f>-5231137.67-54809.25</f>
        <v>-5285946.92</v>
      </c>
      <c r="E82" s="22">
        <v>0</v>
      </c>
      <c r="F82" s="22">
        <v>0</v>
      </c>
    </row>
    <row r="83" spans="2:6" ht="45" x14ac:dyDescent="0.25">
      <c r="B83" s="20" t="s">
        <v>125</v>
      </c>
      <c r="C83" s="26" t="s">
        <v>126</v>
      </c>
      <c r="D83" s="22">
        <f>-100000-963263.22</f>
        <v>-1063263.22</v>
      </c>
      <c r="E83" s="22">
        <v>0</v>
      </c>
      <c r="F83" s="22">
        <v>0</v>
      </c>
    </row>
    <row r="84" spans="2:6" ht="30" x14ac:dyDescent="0.25">
      <c r="B84" s="21" t="s">
        <v>120</v>
      </c>
      <c r="C84" s="27" t="s">
        <v>121</v>
      </c>
      <c r="D84" s="22">
        <f>-10473.68+29.03-196443.89-130095.41</f>
        <v>-336983.95</v>
      </c>
      <c r="E84" s="22">
        <v>0</v>
      </c>
      <c r="F84" s="22">
        <v>0</v>
      </c>
    </row>
  </sheetData>
  <mergeCells count="4">
    <mergeCell ref="B8:B9"/>
    <mergeCell ref="C8:C9"/>
    <mergeCell ref="D8:D9"/>
    <mergeCell ref="E8:F8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Виктория Скрипченко</cp:lastModifiedBy>
  <cp:lastPrinted>2024-12-05T04:51:42Z</cp:lastPrinted>
  <dcterms:created xsi:type="dcterms:W3CDTF">2020-01-10T00:49:50Z</dcterms:created>
  <dcterms:modified xsi:type="dcterms:W3CDTF">2024-12-05T04:51:45Z</dcterms:modified>
</cp:coreProperties>
</file>