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cripchenko.CORP\Desktop\РЕШЕНИЯ СОВЕТА\Решения Совета 2024 год\Решение СНД № 15\СВОД\"/>
    </mc:Choice>
  </mc:AlternateContent>
  <bookViews>
    <workbookView xWindow="-120" yWindow="-120" windowWidth="29040" windowHeight="15720"/>
  </bookViews>
  <sheets>
    <sheet name="Прирожение Нал. и ненал. доходы" sheetId="1" r:id="rId1"/>
  </sheets>
  <definedNames>
    <definedName name="APPT" localSheetId="0">'Прирожение Нал. и ненал. доходы'!#REF!</definedName>
    <definedName name="FIO" localSheetId="0">'Прирожение Нал. и ненал. доходы'!#REF!</definedName>
    <definedName name="LAST_CELL" localSheetId="0">'Прирожение Нал. и ненал. доходы'!#REF!</definedName>
    <definedName name="SIGN" localSheetId="0">'Прирожение Нал. и ненал. доходы'!#REF!</definedName>
    <definedName name="_xlnm.Print_Titles" localSheetId="0">'Прирожение Нал. и ненал. доходы'!$9:$11</definedName>
    <definedName name="_xlnm.Print_Area" localSheetId="0">'Прирожение Нал. и ненал. доходы'!$A$1:$E$81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7" i="1" l="1"/>
  <c r="C71" i="1" l="1"/>
  <c r="C80" i="1"/>
  <c r="C78" i="1"/>
  <c r="C75" i="1" l="1"/>
  <c r="C70" i="1"/>
  <c r="C69" i="1"/>
  <c r="C58" i="1"/>
  <c r="C55" i="1"/>
  <c r="C45" i="1"/>
  <c r="C61" i="1"/>
  <c r="C51" i="1"/>
  <c r="C40" i="1"/>
  <c r="C39" i="1"/>
  <c r="C38" i="1"/>
  <c r="C36" i="1"/>
  <c r="C34" i="1"/>
  <c r="C31" i="1"/>
  <c r="C29" i="1"/>
  <c r="C28" i="1"/>
  <c r="C27" i="1"/>
  <c r="C22" i="1"/>
  <c r="C21" i="1"/>
  <c r="C20" i="1"/>
  <c r="C14" i="1"/>
  <c r="C13" i="1"/>
  <c r="C56" i="1"/>
  <c r="C54" i="1"/>
  <c r="C53" i="1"/>
  <c r="C57" i="1"/>
  <c r="C68" i="1"/>
  <c r="C81" i="1" l="1"/>
  <c r="C76" i="1"/>
  <c r="C77" i="1"/>
  <c r="C60" i="1"/>
  <c r="C59" i="1"/>
  <c r="C52" i="1"/>
  <c r="C50" i="1"/>
  <c r="C49" i="1"/>
  <c r="C48" i="1"/>
  <c r="C47" i="1"/>
  <c r="C46" i="1"/>
  <c r="C41" i="1"/>
  <c r="D13" i="1" l="1"/>
  <c r="C19" i="1"/>
  <c r="C17" i="1"/>
  <c r="C15" i="1"/>
  <c r="C35" i="1"/>
  <c r="C32" i="1"/>
  <c r="C18" i="1"/>
  <c r="D71" i="1"/>
  <c r="E71" i="1"/>
  <c r="D63" i="1"/>
  <c r="E63" i="1"/>
  <c r="D62" i="1"/>
  <c r="E62" i="1"/>
  <c r="D61" i="1"/>
  <c r="E61" i="1"/>
  <c r="C63" i="1" l="1"/>
  <c r="C62" i="1"/>
  <c r="E76" i="1"/>
  <c r="D76" i="1"/>
  <c r="D42" i="1"/>
  <c r="E42" i="1"/>
  <c r="C42" i="1"/>
  <c r="E22" i="1"/>
  <c r="D22" i="1"/>
  <c r="E20" i="1"/>
  <c r="D20" i="1"/>
  <c r="D70" i="1" l="1"/>
  <c r="D12" i="1" s="1"/>
  <c r="E70" i="1"/>
  <c r="E12" i="1" s="1"/>
  <c r="C12" i="1"/>
</calcChain>
</file>

<file path=xl/sharedStrings.xml><?xml version="1.0" encoding="utf-8"?>
<sst xmlns="http://schemas.openxmlformats.org/spreadsheetml/2006/main" count="158" uniqueCount="158">
  <si>
    <t>1 00 00000 00 0000 000</t>
  </si>
  <si>
    <t>НАЛОГОВЫЕ И НЕНАЛОГОВЫЕ ДОХОДЫ</t>
  </si>
  <si>
    <t>1 01 02010 01 1000 110</t>
  </si>
  <si>
    <t>1 01 02020 01 1000 110</t>
  </si>
  <si>
    <t>1 01 02030 01 1000 110</t>
  </si>
  <si>
    <t>1 03 02231 01 0000 110</t>
  </si>
  <si>
    <t>1 03 02241 01 0000 110</t>
  </si>
  <si>
    <t>1 03 02251 01 0000 110</t>
  </si>
  <si>
    <t>1 03 02261 01 0000 110</t>
  </si>
  <si>
    <t>1 05 01011 01 1000 110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</si>
  <si>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</si>
  <si>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1 05 01021 01 1000 110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</si>
  <si>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</si>
  <si>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1 05 03010 01 1000 110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</si>
  <si>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</si>
  <si>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1 05 04010 02 1000 110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</si>
  <si>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</si>
  <si>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1 06 01020 04 1000 110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</si>
  <si>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</si>
  <si>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1 06 06032 04 1000 110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</si>
  <si>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</si>
  <si>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1 06 06042 04 1000 110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</si>
  <si>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</si>
  <si>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</si>
  <si>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</si>
  <si>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1 11 05012 04 0001 120</t>
  </si>
  <si>
    <t>1 11 05012 04 0002 120</t>
  </si>
  <si>
    <t>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</si>
  <si>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</si>
  <si>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</si>
  <si>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</si>
  <si>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1 12 01010 01 6000 120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</si>
  <si>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</si>
  <si>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1 12 01030 01 6000 120</t>
  </si>
  <si>
    <t>1 12 01041 01 6000 120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</si>
  <si>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</si>
  <si>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1 12 01042 01 6000 120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</si>
  <si>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</si>
  <si>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1 14 02043 04 0000 410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</si>
  <si>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</si>
  <si>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</si>
  <si>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</si>
  <si>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</si>
  <si>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</si>
  <si>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</si>
  <si>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</si>
  <si>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1 16 01143 01 9000 140</t>
  </si>
  <si>
    <t>1 16 01153 01 9000 140</t>
  </si>
  <si>
    <t>1 16 01203 01 9000 140</t>
  </si>
  <si>
    <t>1 16 01053 01 9000 140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</si>
  <si>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</si>
  <si>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1 16 10032 04 0000 140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</si>
  <si>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</si>
  <si>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</t>
  </si>
  <si>
    <t>1 08 03010 01 1050 110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</si>
  <si>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</si>
  <si>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1 11 07014 04 0000 120</t>
  </si>
  <si>
    <t>1 01 02080 01 1000 110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</si>
  <si>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</si>
  <si>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1 16 01133 01 9000 140</t>
  </si>
  <si>
    <t>1 01 02040 01 1000 110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</si>
  <si>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</si>
  <si>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</si>
  <si>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</si>
  <si>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</t>
  </si>
  <si>
    <t>1 01 02010 01 3000 110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</si>
  <si>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</si>
  <si>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1 01 02020 01 3000 110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</si>
  <si>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</si>
  <si>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1 01 02030 01 3000 110</t>
  </si>
  <si>
    <t>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</si>
  <si>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1 05 01011 01 3000 110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</si>
  <si>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(суммы денежных взысканий (штрафов) по соответствующему платежу согласно законодательству Российской Федерации)</t>
  </si>
  <si>
    <t>1 05 01021 01 3000 110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</si>
  <si>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</t>
  </si>
  <si>
    <t>1 16 01173 01 9000 140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</si>
  <si>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</t>
  </si>
  <si>
    <t>1 16 01193 01 9000 140</t>
  </si>
  <si>
    <t>1 16 01063 01 9000 140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</si>
  <si>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</t>
  </si>
  <si>
    <t>1 16 01073 01 9000 140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</si>
  <si>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(иные штрафы)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</si>
  <si>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</si>
  <si>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</si>
  <si>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</si>
  <si>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</si>
  <si>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(по искам)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</si>
  <si>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(за фактическое использование(неосновательное обогащение) без заключённых договоров аренды)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</si>
  <si>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</t>
  </si>
  <si>
    <t>1</t>
  </si>
  <si>
    <t>2</t>
  </si>
  <si>
    <t>3</t>
  </si>
  <si>
    <t>4</t>
  </si>
  <si>
    <t>Наименование кода поступлений в бюджет доходов</t>
  </si>
  <si>
    <t>Код</t>
  </si>
  <si>
    <t>Плановый период</t>
  </si>
  <si>
    <t>2024 год</t>
  </si>
  <si>
    <t>2025 год</t>
  </si>
  <si>
    <t>Утверждено</t>
  </si>
  <si>
    <t>(рублей)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</si>
  <si>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</si>
  <si>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</si>
  <si>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 (сумма платежа (перерасчеты, недоимка и задолженность по соответствующему платежу, в том числе по отмененному)</t>
  </si>
  <si>
    <t>Прочие доходы от компенсации затрат бюджетов городских округов</t>
  </si>
  <si>
    <t>1 13 02994 04 0000 130</t>
  </si>
  <si>
    <t>2026 год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</si>
  <si>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</si>
  <si>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1 01 02130 01 1000 110</t>
  </si>
  <si>
    <t>1 01 02140 01 1000 110</t>
  </si>
  <si>
    <t>1 14 02042 04 0000 440</t>
  </si>
  <si>
    <t>1 16 01083 01 9000 140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</si>
  <si>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</si>
  <si>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</si>
  <si>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1 16 01332 01 0000 140
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</si>
  <si>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</si>
  <si>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1 16 01333 01 0000 140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</si>
  <si>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</si>
  <si>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</si>
  <si>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Госудаственная пошлина за выдачу разрешения на установку рекламной конструкции (прочие поступления)</t>
  </si>
  <si>
    <t>1 08 07150 01 4000 110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</si>
  <si>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и(или) крупногабаритных грузов, зачисляемая в бюджеты городских округов (сумма платежа (перерасчёты, недоимка и задолженность по соответствующему платежу, в том числе по отменённому)</t>
  </si>
  <si>
    <t>1 08 07173 01 1000 110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</si>
  <si>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</si>
  <si>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Прогнозируемые объемы налоговых и неналоговых доходов городского бюджета по кодам видов доходов на 2024 год и плановый период 2025 и 2026 годов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</si>
  <si>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</si>
  <si>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1 17 05040 04 0000 180</t>
  </si>
  <si>
    <t>Прочие неналоговые доходы бюджетов городских округов</t>
  </si>
  <si>
    <t>1 05 02010 02 1000 110</t>
  </si>
  <si>
    <t xml:space="preserve">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</si>
  <si>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Единый сельскохозяйственный налог (суммы денежных взысканий (штрафов) по соответствующему платежу согласно законодательству Российской Федерации)</t>
  </si>
  <si>
    <t>1 05 03010 01 3000 110</t>
  </si>
  <si>
    <t>1 08 03010 01 1060 110</t>
  </si>
  <si>
    <t>Госпошлина по делам, рассматриваемым в судах общей юрисдикции, мировыми судьями, за исключением ВС РФ (госпошлина, уплачиваемая на основании судебных актов по результатам рассмотрения дел по существу)</t>
  </si>
  <si>
    <t xml:space="preserve">решением Свободненского   </t>
  </si>
  <si>
    <t xml:space="preserve">                               городского Совета народных    </t>
  </si>
  <si>
    <t xml:space="preserve">депутатов      </t>
  </si>
  <si>
    <t xml:space="preserve">        от ___________ № ____       </t>
  </si>
  <si>
    <t>Приложение №1   к решению</t>
  </si>
  <si>
    <t>1 16 10123 01 0041 140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</si>
  <si>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</si>
  <si>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</si>
  <si>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</si>
  <si>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</si>
  <si>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1 11 09044 04 0000 120 </t>
  </si>
  <si>
    <t xml:space="preserve">1 16 07090 04 0000 140 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</si>
  <si>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</si>
  <si>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 xml:space="preserve">1 16 10061 04 0000 140 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</si>
  <si>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</si>
  <si>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 xml:space="preserve">1 16 01154 01 0000 140 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</si>
  <si>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</si>
  <si>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1 06 06042 04 3000 110 </t>
  </si>
  <si>
    <t>Земельный налог с физических лиц, обладающих земельным участком, расположенным в границах городских округов (суммы денежных взысканий (штрафов) по соответствующему платежу согласно законодательству Российской Федерации)</t>
  </si>
  <si>
    <t xml:space="preserve">1 09 04052 04 1000 110 </t>
  </si>
  <si>
    <t>Земельный налог (по обязательствам, возникшим до 1 января 2006 года), мобилизуемый на территориях городских округов (сумма платежа (перерасчеты, недоимка и задолженность по соответствующему платежу, в том числе по отмененному)</t>
  </si>
  <si>
    <t xml:space="preserve">1 09 07032 04 1000 110 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</si>
  <si>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 (сумма платежа (перерасчеты, недоимка и задолженность по соответствующему платежу, в том числе по отмененному)</t>
  </si>
  <si>
    <t>1 16 02010 02 0001 140</t>
  </si>
  <si>
    <t>Административные штрафы, установленные законами субъектов Российской Федерации об административных правонарушениях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</si>
</sst>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&quot;$&quot;* #,##0.00_);_(&quot;$&quot;* \(#,##0.00\);_(&quot;$&quot;* &quot;-&quot;??_);_(@_)"/>
  </numFmts>
  <fonts count="28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70">
    <xf numFmtId="0" fontId="0" fillId="0" borderId="0"/>
    <xf numFmtId="0" fontId="3" fillId="0" borderId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20" borderId="0" applyNumberFormat="0" applyBorder="0" applyAlignment="0" applyProtection="0"/>
    <xf numFmtId="0" fontId="10" fillId="8" borderId="2" applyNumberFormat="0" applyAlignment="0" applyProtection="0"/>
    <xf numFmtId="0" fontId="11" fillId="21" borderId="3" applyNumberFormat="0" applyAlignment="0" applyProtection="0"/>
    <xf numFmtId="0" fontId="12" fillId="21" borderId="2" applyNumberFormat="0" applyAlignment="0" applyProtection="0"/>
    <xf numFmtId="164" fontId="6" fillId="0" borderId="0" applyFont="0" applyFill="0" applyBorder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7" applyNumberFormat="0" applyFill="0" applyAlignment="0" applyProtection="0"/>
    <xf numFmtId="0" fontId="17" fillId="22" borderId="8" applyNumberFormat="0" applyAlignment="0" applyProtection="0"/>
    <xf numFmtId="0" fontId="18" fillId="0" borderId="0" applyNumberFormat="0" applyFill="0" applyBorder="0" applyAlignment="0" applyProtection="0"/>
    <xf numFmtId="0" fontId="19" fillId="23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2" fillId="0" borderId="0"/>
    <xf numFmtId="0" fontId="25" fillId="0" borderId="0"/>
    <xf numFmtId="0" fontId="8" fillId="0" borderId="0"/>
    <xf numFmtId="0" fontId="8" fillId="0" borderId="0"/>
    <xf numFmtId="0" fontId="20" fillId="4" borderId="0" applyNumberFormat="0" applyBorder="0" applyAlignment="0" applyProtection="0"/>
    <xf numFmtId="0" fontId="21" fillId="0" borderId="0" applyNumberFormat="0" applyFill="0" applyBorder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25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22" fillId="0" borderId="10" applyNumberFormat="0" applyFill="0" applyAlignment="0" applyProtection="0"/>
    <xf numFmtId="0" fontId="23" fillId="0" borderId="0" applyNumberFormat="0" applyFill="0" applyBorder="0" applyAlignment="0" applyProtection="0"/>
    <xf numFmtId="0" fontId="24" fillId="5" borderId="0" applyNumberFormat="0" applyBorder="0" applyAlignment="0" applyProtection="0"/>
    <xf numFmtId="0" fontId="1" fillId="0" borderId="0"/>
    <xf numFmtId="0" fontId="6" fillId="0" borderId="0"/>
    <xf numFmtId="0" fontId="1" fillId="0" borderId="0"/>
  </cellStyleXfs>
  <cellXfs count="30">
    <xf numFmtId="0" fontId="0" fillId="0" borderId="0" xfId="0"/>
    <xf numFmtId="0" fontId="5" fillId="2" borderId="0" xfId="0" applyFont="1" applyFill="1"/>
    <xf numFmtId="49" fontId="5" fillId="2" borderId="0" xfId="0" applyNumberFormat="1" applyFont="1" applyFill="1" applyAlignment="1">
      <alignment vertical="center"/>
    </xf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wrapText="1"/>
    </xf>
    <xf numFmtId="0" fontId="4" fillId="2" borderId="0" xfId="0" applyFont="1" applyFill="1"/>
    <xf numFmtId="4" fontId="5" fillId="2" borderId="0" xfId="0" applyNumberFormat="1" applyFont="1" applyFill="1" applyAlignment="1">
      <alignment horizontal="right"/>
    </xf>
    <xf numFmtId="0" fontId="26" fillId="2" borderId="0" xfId="0" applyFont="1" applyFill="1" applyAlignment="1">
      <alignment horizontal="right" vertical="center"/>
    </xf>
    <xf numFmtId="49" fontId="26" fillId="2" borderId="0" xfId="0" applyNumberFormat="1" applyFont="1" applyFill="1" applyAlignment="1">
      <alignment vertical="center"/>
    </xf>
    <xf numFmtId="0" fontId="26" fillId="2" borderId="0" xfId="0" applyFont="1" applyFill="1"/>
    <xf numFmtId="4" fontId="26" fillId="2" borderId="0" xfId="0" applyNumberFormat="1" applyFont="1" applyFill="1" applyAlignment="1">
      <alignment horizontal="right" vertical="center"/>
    </xf>
    <xf numFmtId="0" fontId="26" fillId="2" borderId="0" xfId="0" applyFont="1" applyFill="1" applyAlignment="1">
      <alignment horizontal="right" vertical="center"/>
    </xf>
    <xf numFmtId="49" fontId="27" fillId="2" borderId="0" xfId="0" applyNumberFormat="1" applyFont="1" applyFill="1" applyAlignment="1">
      <alignment horizontal="centerContinuous" vertical="center" wrapText="1"/>
    </xf>
    <xf numFmtId="0" fontId="27" fillId="2" borderId="0" xfId="0" applyFont="1" applyFill="1" applyAlignment="1">
      <alignment horizontal="centerContinuous" vertical="center" wrapText="1"/>
    </xf>
    <xf numFmtId="49" fontId="27" fillId="2" borderId="0" xfId="0" applyNumberFormat="1" applyFont="1" applyFill="1" applyAlignment="1">
      <alignment horizontal="center" vertical="center" wrapText="1"/>
    </xf>
    <xf numFmtId="4" fontId="26" fillId="2" borderId="0" xfId="0" applyNumberFormat="1" applyFont="1" applyFill="1" applyAlignment="1">
      <alignment horizontal="right"/>
    </xf>
    <xf numFmtId="0" fontId="26" fillId="2" borderId="0" xfId="0" applyFont="1" applyFill="1" applyAlignment="1">
      <alignment horizontal="right"/>
    </xf>
    <xf numFmtId="49" fontId="26" fillId="2" borderId="1" xfId="0" applyNumberFormat="1" applyFont="1" applyFill="1" applyBorder="1" applyAlignment="1">
      <alignment horizontal="center" vertical="center" wrapText="1"/>
    </xf>
    <xf numFmtId="4" fontId="26" fillId="2" borderId="1" xfId="0" applyNumberFormat="1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center"/>
    </xf>
    <xf numFmtId="49" fontId="26" fillId="2" borderId="1" xfId="0" applyNumberFormat="1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center" vertical="center"/>
    </xf>
    <xf numFmtId="4" fontId="26" fillId="2" borderId="1" xfId="0" applyNumberFormat="1" applyFont="1" applyFill="1" applyBorder="1" applyAlignment="1">
      <alignment horizontal="center" vertical="center" wrapText="1"/>
    </xf>
    <xf numFmtId="49" fontId="27" fillId="2" borderId="1" xfId="0" applyNumberFormat="1" applyFont="1" applyFill="1" applyBorder="1" applyAlignment="1">
      <alignment horizontal="left" vertical="center" wrapText="1"/>
    </xf>
    <xf numFmtId="49" fontId="27" fillId="2" borderId="1" xfId="0" applyNumberFormat="1" applyFont="1" applyFill="1" applyBorder="1" applyAlignment="1">
      <alignment horizontal="center" vertical="center" wrapText="1"/>
    </xf>
    <xf numFmtId="4" fontId="27" fillId="2" borderId="1" xfId="0" applyNumberFormat="1" applyFont="1" applyFill="1" applyBorder="1" applyAlignment="1">
      <alignment horizontal="right" vertical="center" wrapText="1"/>
    </xf>
    <xf numFmtId="49" fontId="26" fillId="2" borderId="1" xfId="0" applyNumberFormat="1" applyFont="1" applyFill="1" applyBorder="1" applyAlignment="1">
      <alignment horizontal="left" vertical="center" wrapText="1"/>
    </xf>
    <xf numFmtId="4" fontId="26" fillId="2" borderId="1" xfId="0" applyNumberFormat="1" applyFont="1" applyFill="1" applyBorder="1" applyAlignment="1">
      <alignment horizontal="right" vertical="center" wrapText="1"/>
    </xf>
    <xf numFmtId="0" fontId="26" fillId="2" borderId="0" xfId="0" applyFont="1" applyFill="1" applyAlignment="1">
      <alignment wrapText="1"/>
    </xf>
    <xf numFmtId="49" fontId="26" fillId="2" borderId="1" xfId="0" applyNumberFormat="1" applyFont="1" applyFill="1" applyBorder="1" applyAlignment="1">
      <alignment horizontal="left" vertical="top" wrapText="1"/>
    </xf>
  </cellXfs>
  <cellStyles count="70">
    <cellStyle name="20% - Акцент1" xfId="2"/>
    <cellStyle name="20% - Акцент2" xfId="3"/>
    <cellStyle name="20% - Акцент3" xfId="4"/>
    <cellStyle name="20% - Акцент4" xfId="5"/>
    <cellStyle name="20% - Акцент5" xfId="6"/>
    <cellStyle name="20% - Акцент6" xfId="7"/>
    <cellStyle name="40% - Акцент1" xfId="8"/>
    <cellStyle name="40% - Акцент2" xfId="9"/>
    <cellStyle name="40% - Акцент3" xfId="10"/>
    <cellStyle name="40% - Акцент4" xfId="11"/>
    <cellStyle name="40% - Акцент5" xfId="12"/>
    <cellStyle name="40% - Акцент6" xfId="13"/>
    <cellStyle name="60% - Акцент1" xfId="14"/>
    <cellStyle name="60% - Акцент2" xfId="15"/>
    <cellStyle name="60% - Акцент3" xfId="16"/>
    <cellStyle name="60% - Акцент4" xfId="17"/>
    <cellStyle name="60% - Акцент5" xfId="18"/>
    <cellStyle name="60% - Акцент6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Денежный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1" xfId="38"/>
    <cellStyle name="Обычный 12" xfId="39"/>
    <cellStyle name="Обычный 13" xfId="40"/>
    <cellStyle name="Обычный 14" xfId="41"/>
    <cellStyle name="Обычный 15" xfId="42"/>
    <cellStyle name="Обычный 16" xfId="43"/>
    <cellStyle name="Обычный 2" xfId="44"/>
    <cellStyle name="Обычный 3" xfId="1"/>
    <cellStyle name="Обычный 3 2" xfId="46"/>
    <cellStyle name="Обычный 3 2 2" xfId="69"/>
    <cellStyle name="Обычный 3 3" xfId="45"/>
    <cellStyle name="Обычный 3 3 2" xfId="68"/>
    <cellStyle name="Обычный 3 4" xfId="67"/>
    <cellStyle name="Обычный 4" xfId="47"/>
    <cellStyle name="Обычный 7" xfId="48"/>
    <cellStyle name="Обычный 9" xfId="49"/>
    <cellStyle name="Плохой 2" xfId="50"/>
    <cellStyle name="Пояснение 2" xfId="51"/>
    <cellStyle name="Примечание 10" xfId="52"/>
    <cellStyle name="Примечание 11" xfId="53"/>
    <cellStyle name="Примечание 12" xfId="54"/>
    <cellStyle name="Примечание 13" xfId="55"/>
    <cellStyle name="Примечание 2" xfId="56"/>
    <cellStyle name="Примечание 3" xfId="57"/>
    <cellStyle name="Примечание 4" xfId="58"/>
    <cellStyle name="Примечание 5" xfId="59"/>
    <cellStyle name="Примечание 6" xfId="60"/>
    <cellStyle name="Примечание 7" xfId="61"/>
    <cellStyle name="Примечание 8" xfId="62"/>
    <cellStyle name="Примечание 9" xfId="63"/>
    <cellStyle name="Связанная ячейка 2" xfId="64"/>
    <cellStyle name="Текст предупреждения 2" xfId="65"/>
    <cellStyle name="Хороший 2" xfId="6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F81"/>
  <sheetViews>
    <sheetView showGridLines="0" tabSelected="1" zoomScale="90" zoomScaleNormal="90" zoomScaleSheetLayoutView="80" workbookViewId="0">
      <selection activeCell="G15" sqref="G15"/>
    </sheetView>
  </sheetViews>
  <sheetFormatPr defaultColWidth="9" defaultRowHeight="15.75" x14ac:dyDescent="0.25"/>
  <cols>
    <col min="1" max="1" width="107.5703125" style="2" bestFit="1" customWidth="1"/>
    <col min="2" max="2" width="23.7109375" style="1" bestFit="1" customWidth="1"/>
    <col min="3" max="3" width="17.28515625" style="6" bestFit="1" customWidth="1"/>
    <col min="4" max="5" width="17.28515625" style="3" bestFit="1" customWidth="1"/>
    <col min="6" max="6" width="9.140625" style="1" customWidth="1"/>
    <col min="7" max="16384" width="9" style="1"/>
  </cols>
  <sheetData>
    <row r="1" spans="1:6" x14ac:dyDescent="0.25">
      <c r="A1" s="8"/>
      <c r="B1" s="9"/>
      <c r="C1" s="7" t="s">
        <v>98</v>
      </c>
      <c r="D1" s="7"/>
      <c r="E1" s="7"/>
    </row>
    <row r="2" spans="1:6" x14ac:dyDescent="0.25">
      <c r="A2" s="8"/>
      <c r="B2" s="9"/>
      <c r="C2" s="7" t="s">
        <v>133</v>
      </c>
      <c r="D2" s="7"/>
      <c r="E2" s="7"/>
    </row>
    <row r="3" spans="1:6" x14ac:dyDescent="0.25">
      <c r="A3" s="8"/>
      <c r="B3" s="9"/>
      <c r="C3" s="7" t="s">
        <v>134</v>
      </c>
      <c r="D3" s="7"/>
      <c r="E3" s="7"/>
    </row>
    <row r="4" spans="1:6" x14ac:dyDescent="0.25">
      <c r="A4" s="8"/>
      <c r="B4" s="9"/>
      <c r="C4" s="10"/>
      <c r="D4" s="11" t="s">
        <v>135</v>
      </c>
      <c r="E4" s="11"/>
    </row>
    <row r="5" spans="1:6" x14ac:dyDescent="0.25">
      <c r="A5" s="8"/>
      <c r="B5" s="9"/>
      <c r="C5" s="7" t="s">
        <v>136</v>
      </c>
      <c r="D5" s="7"/>
      <c r="E5" s="7"/>
    </row>
    <row r="6" spans="1:6" x14ac:dyDescent="0.25">
      <c r="A6" s="12"/>
      <c r="B6" s="13"/>
      <c r="C6" s="7" t="s">
        <v>137</v>
      </c>
      <c r="D6" s="7"/>
      <c r="E6" s="7"/>
      <c r="F6" s="4"/>
    </row>
    <row r="7" spans="1:6" x14ac:dyDescent="0.25">
      <c r="A7" s="14" t="s">
        <v>123</v>
      </c>
      <c r="B7" s="14"/>
      <c r="C7" s="14"/>
      <c r="D7" s="14"/>
      <c r="E7" s="14"/>
    </row>
    <row r="8" spans="1:6" x14ac:dyDescent="0.25">
      <c r="A8" s="14"/>
      <c r="B8" s="14"/>
      <c r="C8" s="15"/>
      <c r="D8" s="16"/>
      <c r="E8" s="16" t="s">
        <v>99</v>
      </c>
    </row>
    <row r="9" spans="1:6" x14ac:dyDescent="0.25">
      <c r="A9" s="17" t="s">
        <v>93</v>
      </c>
      <c r="B9" s="17" t="s">
        <v>94</v>
      </c>
      <c r="C9" s="18" t="s">
        <v>96</v>
      </c>
      <c r="D9" s="19" t="s">
        <v>95</v>
      </c>
      <c r="E9" s="19"/>
    </row>
    <row r="10" spans="1:6" x14ac:dyDescent="0.25">
      <c r="A10" s="17"/>
      <c r="B10" s="17"/>
      <c r="C10" s="18"/>
      <c r="D10" s="20" t="s">
        <v>97</v>
      </c>
      <c r="E10" s="21" t="s">
        <v>105</v>
      </c>
    </row>
    <row r="11" spans="1:6" x14ac:dyDescent="0.25">
      <c r="A11" s="20" t="s">
        <v>89</v>
      </c>
      <c r="B11" s="20" t="s">
        <v>90</v>
      </c>
      <c r="C11" s="22" t="s">
        <v>91</v>
      </c>
      <c r="D11" s="20" t="s">
        <v>92</v>
      </c>
      <c r="E11" s="21">
        <v>5</v>
      </c>
    </row>
    <row r="12" spans="1:6" x14ac:dyDescent="0.25">
      <c r="A12" s="23" t="s">
        <v>1</v>
      </c>
      <c r="B12" s="24" t="s">
        <v>0</v>
      </c>
      <c r="C12" s="25">
        <f>SUM(C13:C81)</f>
        <v>2117826786.21</v>
      </c>
      <c r="D12" s="25">
        <f>SUM(D13:D81)</f>
        <v>1430801020.2499998</v>
      </c>
      <c r="E12" s="25">
        <f>SUM(E13:E81)</f>
        <v>1304639020.2499998</v>
      </c>
    </row>
    <row r="13" spans="1:6" ht="75" x14ac:dyDescent="0.25">
      <c r="A13" s="26" t="s">
        <v>100</v>
      </c>
      <c r="B13" s="20" t="s">
        <v>2</v>
      </c>
      <c r="C13" s="27">
        <f>1076166000+45492245.86+151324754.14+65510000+87220000+65187000</f>
        <v>1490900000</v>
      </c>
      <c r="D13" s="27">
        <f>894036400+89898100+24620000</f>
        <v>1008554500</v>
      </c>
      <c r="E13" s="27">
        <v>916230800</v>
      </c>
    </row>
    <row r="14" spans="1:6" ht="75" x14ac:dyDescent="0.25">
      <c r="A14" s="26" t="s">
        <v>101</v>
      </c>
      <c r="B14" s="20" t="s">
        <v>65</v>
      </c>
      <c r="C14" s="27">
        <f>100000-50000+30000</f>
        <v>80000</v>
      </c>
      <c r="D14" s="27">
        <v>100000</v>
      </c>
      <c r="E14" s="27">
        <v>100000</v>
      </c>
    </row>
    <row r="15" spans="1:6" ht="75" x14ac:dyDescent="0.25">
      <c r="A15" s="26" t="s">
        <v>61</v>
      </c>
      <c r="B15" s="20" t="s">
        <v>3</v>
      </c>
      <c r="C15" s="27">
        <f>949000+10000+72000+34000</f>
        <v>1065000</v>
      </c>
      <c r="D15" s="27">
        <v>1009200</v>
      </c>
      <c r="E15" s="27">
        <v>973000</v>
      </c>
    </row>
    <row r="16" spans="1:6" ht="75" x14ac:dyDescent="0.25">
      <c r="A16" s="26" t="s">
        <v>66</v>
      </c>
      <c r="B16" s="20" t="s">
        <v>67</v>
      </c>
      <c r="C16" s="27">
        <v>1000</v>
      </c>
      <c r="D16" s="27">
        <v>1000</v>
      </c>
      <c r="E16" s="27">
        <v>1000</v>
      </c>
    </row>
    <row r="17" spans="1:5" ht="45" x14ac:dyDescent="0.25">
      <c r="A17" s="26" t="s">
        <v>62</v>
      </c>
      <c r="B17" s="20" t="s">
        <v>4</v>
      </c>
      <c r="C17" s="27">
        <f>4714000+131000+4843000-3638000+200000</f>
        <v>6250000</v>
      </c>
      <c r="D17" s="27">
        <v>5888000</v>
      </c>
      <c r="E17" s="27">
        <v>6011000</v>
      </c>
    </row>
    <row r="18" spans="1:5" ht="45" x14ac:dyDescent="0.25">
      <c r="A18" s="26" t="s">
        <v>68</v>
      </c>
      <c r="B18" s="20" t="s">
        <v>69</v>
      </c>
      <c r="C18" s="27">
        <f>2000</f>
        <v>2000</v>
      </c>
      <c r="D18" s="27">
        <v>2000</v>
      </c>
      <c r="E18" s="27">
        <v>2000</v>
      </c>
    </row>
    <row r="19" spans="1:5" ht="60" x14ac:dyDescent="0.25">
      <c r="A19" s="26" t="s">
        <v>58</v>
      </c>
      <c r="B19" s="20" t="s">
        <v>60</v>
      </c>
      <c r="C19" s="27">
        <f>165777000+7564000+37713000+6948000</f>
        <v>218002000</v>
      </c>
      <c r="D19" s="27">
        <v>100646550</v>
      </c>
      <c r="E19" s="27">
        <v>65345100</v>
      </c>
    </row>
    <row r="20" spans="1:5" ht="90" x14ac:dyDescent="0.25">
      <c r="A20" s="26" t="s">
        <v>102</v>
      </c>
      <c r="B20" s="20" t="s">
        <v>57</v>
      </c>
      <c r="C20" s="27">
        <f>32400000+5627000+19417000+1891000+8866000</f>
        <v>68201000</v>
      </c>
      <c r="D20" s="27">
        <f>29785850+4450760</f>
        <v>34236610</v>
      </c>
      <c r="E20" s="27">
        <f>28129280+4203230</f>
        <v>32332510</v>
      </c>
    </row>
    <row r="21" spans="1:5" ht="45" x14ac:dyDescent="0.25">
      <c r="A21" s="26" t="s">
        <v>106</v>
      </c>
      <c r="B21" s="20" t="s">
        <v>107</v>
      </c>
      <c r="C21" s="27">
        <f>5101000-2321000+2066000+159000-2658000</f>
        <v>2347000</v>
      </c>
      <c r="D21" s="27">
        <v>7594600</v>
      </c>
      <c r="E21" s="27">
        <v>8122600</v>
      </c>
    </row>
    <row r="22" spans="1:5" ht="45" x14ac:dyDescent="0.25">
      <c r="A22" s="26" t="s">
        <v>122</v>
      </c>
      <c r="B22" s="20" t="s">
        <v>108</v>
      </c>
      <c r="C22" s="27">
        <f>8100000+7000-637000+246000+1153000</f>
        <v>8869000</v>
      </c>
      <c r="D22" s="27">
        <f>3026000+490590+3283210-3026000</f>
        <v>3773800</v>
      </c>
      <c r="E22" s="27">
        <f>3236200+524670+3511280-3236200</f>
        <v>4035950</v>
      </c>
    </row>
    <row r="23" spans="1:5" ht="60" x14ac:dyDescent="0.25">
      <c r="A23" s="26" t="s">
        <v>82</v>
      </c>
      <c r="B23" s="20" t="s">
        <v>5</v>
      </c>
      <c r="C23" s="27">
        <v>6983800</v>
      </c>
      <c r="D23" s="27">
        <v>7469100</v>
      </c>
      <c r="E23" s="27">
        <v>7912900</v>
      </c>
    </row>
    <row r="24" spans="1:5" ht="75" x14ac:dyDescent="0.25">
      <c r="A24" s="26" t="s">
        <v>83</v>
      </c>
      <c r="B24" s="20" t="s">
        <v>6</v>
      </c>
      <c r="C24" s="27">
        <v>33300</v>
      </c>
      <c r="D24" s="27">
        <v>39200</v>
      </c>
      <c r="E24" s="27">
        <v>42000</v>
      </c>
    </row>
    <row r="25" spans="1:5" ht="60" x14ac:dyDescent="0.25">
      <c r="A25" s="26" t="s">
        <v>84</v>
      </c>
      <c r="B25" s="20" t="s">
        <v>7</v>
      </c>
      <c r="C25" s="27">
        <v>7241400</v>
      </c>
      <c r="D25" s="27">
        <v>7776700</v>
      </c>
      <c r="E25" s="27">
        <v>8241300</v>
      </c>
    </row>
    <row r="26" spans="1:5" ht="60" x14ac:dyDescent="0.25">
      <c r="A26" s="26" t="s">
        <v>85</v>
      </c>
      <c r="B26" s="20" t="s">
        <v>8</v>
      </c>
      <c r="C26" s="27">
        <v>-867800</v>
      </c>
      <c r="D26" s="27">
        <v>-928500</v>
      </c>
      <c r="E26" s="27">
        <v>-1005400</v>
      </c>
    </row>
    <row r="27" spans="1:5" ht="30" x14ac:dyDescent="0.25">
      <c r="A27" s="26" t="s">
        <v>10</v>
      </c>
      <c r="B27" s="20" t="s">
        <v>9</v>
      </c>
      <c r="C27" s="27">
        <f>30147350+119600+6033050</f>
        <v>36300000</v>
      </c>
      <c r="D27" s="27">
        <v>31421450</v>
      </c>
      <c r="E27" s="27">
        <v>31421450</v>
      </c>
    </row>
    <row r="28" spans="1:5" ht="45" x14ac:dyDescent="0.25">
      <c r="A28" s="26" t="s">
        <v>70</v>
      </c>
      <c r="B28" s="20" t="s">
        <v>71</v>
      </c>
      <c r="C28" s="27">
        <f>1000+13000</f>
        <v>14000</v>
      </c>
      <c r="D28" s="27">
        <v>1000</v>
      </c>
      <c r="E28" s="27">
        <v>1000</v>
      </c>
    </row>
    <row r="29" spans="1:5" ht="60" x14ac:dyDescent="0.25">
      <c r="A29" s="26" t="s">
        <v>12</v>
      </c>
      <c r="B29" s="20" t="s">
        <v>11</v>
      </c>
      <c r="C29" s="27">
        <f>16411700-2746650+584950</f>
        <v>14250000</v>
      </c>
      <c r="D29" s="27">
        <v>17105750</v>
      </c>
      <c r="E29" s="27">
        <v>17105750</v>
      </c>
    </row>
    <row r="30" spans="1:5" ht="60" x14ac:dyDescent="0.25">
      <c r="A30" s="26" t="s">
        <v>72</v>
      </c>
      <c r="B30" s="20" t="s">
        <v>73</v>
      </c>
      <c r="C30" s="27">
        <v>1000</v>
      </c>
      <c r="D30" s="27">
        <v>1000</v>
      </c>
      <c r="E30" s="27">
        <v>1000</v>
      </c>
    </row>
    <row r="31" spans="1:5" ht="30" x14ac:dyDescent="0.25">
      <c r="A31" s="26" t="s">
        <v>128</v>
      </c>
      <c r="B31" s="20" t="s">
        <v>127</v>
      </c>
      <c r="C31" s="27">
        <f>16000+19000</f>
        <v>35000</v>
      </c>
      <c r="D31" s="27">
        <v>0</v>
      </c>
      <c r="E31" s="27">
        <v>0</v>
      </c>
    </row>
    <row r="32" spans="1:5" ht="30" x14ac:dyDescent="0.25">
      <c r="A32" s="26" t="s">
        <v>14</v>
      </c>
      <c r="B32" s="20" t="s">
        <v>13</v>
      </c>
      <c r="C32" s="27">
        <f>596000+236000</f>
        <v>832000</v>
      </c>
      <c r="D32" s="27">
        <v>621000</v>
      </c>
      <c r="E32" s="27">
        <v>621000</v>
      </c>
    </row>
    <row r="33" spans="1:5" ht="30" x14ac:dyDescent="0.25">
      <c r="A33" s="26" t="s">
        <v>129</v>
      </c>
      <c r="B33" s="20" t="s">
        <v>130</v>
      </c>
      <c r="C33" s="27">
        <v>1000</v>
      </c>
      <c r="D33" s="27">
        <v>0</v>
      </c>
      <c r="E33" s="27">
        <v>0</v>
      </c>
    </row>
    <row r="34" spans="1:5" ht="45" x14ac:dyDescent="0.25">
      <c r="A34" s="26" t="s">
        <v>16</v>
      </c>
      <c r="B34" s="20" t="s">
        <v>15</v>
      </c>
      <c r="C34" s="27">
        <f>14761000-1321000+1460000</f>
        <v>14900000</v>
      </c>
      <c r="D34" s="27">
        <v>15384000</v>
      </c>
      <c r="E34" s="27">
        <v>15384000</v>
      </c>
    </row>
    <row r="35" spans="1:5" ht="45" x14ac:dyDescent="0.25">
      <c r="A35" s="26" t="s">
        <v>18</v>
      </c>
      <c r="B35" s="20" t="s">
        <v>17</v>
      </c>
      <c r="C35" s="27">
        <f>40972000+1843000</f>
        <v>42815000</v>
      </c>
      <c r="D35" s="27">
        <v>42303000</v>
      </c>
      <c r="E35" s="27">
        <v>41986000</v>
      </c>
    </row>
    <row r="36" spans="1:5" ht="45" x14ac:dyDescent="0.25">
      <c r="A36" s="26" t="s">
        <v>20</v>
      </c>
      <c r="B36" s="20" t="s">
        <v>19</v>
      </c>
      <c r="C36" s="27">
        <f>22417000-3460000+2043000</f>
        <v>21000000</v>
      </c>
      <c r="D36" s="27">
        <v>25331000</v>
      </c>
      <c r="E36" s="27">
        <v>27231000</v>
      </c>
    </row>
    <row r="37" spans="1:5" ht="45" x14ac:dyDescent="0.25">
      <c r="A37" s="26" t="s">
        <v>22</v>
      </c>
      <c r="B37" s="20" t="s">
        <v>21</v>
      </c>
      <c r="C37" s="27">
        <f>12488000+110000</f>
        <v>12598000</v>
      </c>
      <c r="D37" s="27">
        <v>12550000</v>
      </c>
      <c r="E37" s="27">
        <v>12613000</v>
      </c>
    </row>
    <row r="38" spans="1:5" ht="45" x14ac:dyDescent="0.25">
      <c r="A38" s="26" t="s">
        <v>151</v>
      </c>
      <c r="B38" s="20" t="s">
        <v>150</v>
      </c>
      <c r="C38" s="27">
        <f>0.02</f>
        <v>0.02</v>
      </c>
      <c r="D38" s="27"/>
      <c r="E38" s="27"/>
    </row>
    <row r="39" spans="1:5" ht="45" x14ac:dyDescent="0.25">
      <c r="A39" s="26" t="s">
        <v>55</v>
      </c>
      <c r="B39" s="20" t="s">
        <v>54</v>
      </c>
      <c r="C39" s="27">
        <f>10811000+111000+2778000</f>
        <v>13700000</v>
      </c>
      <c r="D39" s="27">
        <v>11201000</v>
      </c>
      <c r="E39" s="27">
        <v>11201000</v>
      </c>
    </row>
    <row r="40" spans="1:5" ht="30" x14ac:dyDescent="0.25">
      <c r="A40" s="28" t="s">
        <v>132</v>
      </c>
      <c r="B40" s="20" t="s">
        <v>131</v>
      </c>
      <c r="C40" s="27">
        <f>82000+239000</f>
        <v>321000</v>
      </c>
      <c r="D40" s="27">
        <v>0</v>
      </c>
      <c r="E40" s="27">
        <v>0</v>
      </c>
    </row>
    <row r="41" spans="1:5" x14ac:dyDescent="0.25">
      <c r="A41" s="26" t="s">
        <v>118</v>
      </c>
      <c r="B41" s="20" t="s">
        <v>119</v>
      </c>
      <c r="C41" s="27">
        <f>10000+25000</f>
        <v>35000</v>
      </c>
      <c r="D41" s="27">
        <v>10000</v>
      </c>
      <c r="E41" s="27">
        <v>10000</v>
      </c>
    </row>
    <row r="42" spans="1:5" ht="60" x14ac:dyDescent="0.25">
      <c r="A42" s="26" t="s">
        <v>120</v>
      </c>
      <c r="B42" s="20" t="s">
        <v>121</v>
      </c>
      <c r="C42" s="27">
        <f>22400-22400</f>
        <v>0</v>
      </c>
      <c r="D42" s="27">
        <f t="shared" ref="D42:E42" si="0">22400-22400</f>
        <v>0</v>
      </c>
      <c r="E42" s="27">
        <f t="shared" si="0"/>
        <v>0</v>
      </c>
    </row>
    <row r="43" spans="1:5" ht="45" x14ac:dyDescent="0.25">
      <c r="A43" s="26" t="s">
        <v>153</v>
      </c>
      <c r="B43" s="20" t="s">
        <v>152</v>
      </c>
      <c r="C43" s="27">
        <v>-0.01</v>
      </c>
      <c r="D43" s="27"/>
      <c r="E43" s="27"/>
    </row>
    <row r="44" spans="1:5" ht="45" x14ac:dyDescent="0.25">
      <c r="A44" s="26" t="s">
        <v>155</v>
      </c>
      <c r="B44" s="20" t="s">
        <v>154</v>
      </c>
      <c r="C44" s="27">
        <v>-0.02</v>
      </c>
      <c r="D44" s="27"/>
      <c r="E44" s="27"/>
    </row>
    <row r="45" spans="1:5" ht="45" x14ac:dyDescent="0.25">
      <c r="A45" s="26" t="s">
        <v>24</v>
      </c>
      <c r="B45" s="20" t="s">
        <v>23</v>
      </c>
      <c r="C45" s="27">
        <f>40000000-4000000</f>
        <v>36000000</v>
      </c>
      <c r="D45" s="27">
        <v>40000000</v>
      </c>
      <c r="E45" s="27">
        <v>40000000</v>
      </c>
    </row>
    <row r="46" spans="1:5" ht="45" x14ac:dyDescent="0.25">
      <c r="A46" s="26" t="s">
        <v>86</v>
      </c>
      <c r="B46" s="20" t="s">
        <v>25</v>
      </c>
      <c r="C46" s="27">
        <f>100000+254000</f>
        <v>354000</v>
      </c>
      <c r="D46" s="27">
        <v>100000</v>
      </c>
      <c r="E46" s="27">
        <v>100000</v>
      </c>
    </row>
    <row r="47" spans="1:5" ht="60" x14ac:dyDescent="0.25">
      <c r="A47" s="26" t="s">
        <v>87</v>
      </c>
      <c r="B47" s="20" t="s">
        <v>26</v>
      </c>
      <c r="C47" s="27">
        <f>100000-68000</f>
        <v>32000</v>
      </c>
      <c r="D47" s="27">
        <v>100000</v>
      </c>
      <c r="E47" s="27">
        <v>100000</v>
      </c>
    </row>
    <row r="48" spans="1:5" ht="45" x14ac:dyDescent="0.25">
      <c r="A48" s="26" t="s">
        <v>28</v>
      </c>
      <c r="B48" s="20" t="s">
        <v>27</v>
      </c>
      <c r="C48" s="27">
        <f>15000000+12000000</f>
        <v>27000000</v>
      </c>
      <c r="D48" s="27">
        <v>15000000</v>
      </c>
      <c r="E48" s="27">
        <v>15000000</v>
      </c>
    </row>
    <row r="49" spans="1:6" ht="60" x14ac:dyDescent="0.25">
      <c r="A49" s="26" t="s">
        <v>30</v>
      </c>
      <c r="B49" s="20" t="s">
        <v>29</v>
      </c>
      <c r="C49" s="27">
        <f>400000+172000</f>
        <v>572000</v>
      </c>
      <c r="D49" s="27">
        <v>400000</v>
      </c>
      <c r="E49" s="27">
        <v>400000</v>
      </c>
    </row>
    <row r="50" spans="1:6" ht="30" x14ac:dyDescent="0.25">
      <c r="A50" s="26" t="s">
        <v>124</v>
      </c>
      <c r="B50" s="20" t="s">
        <v>56</v>
      </c>
      <c r="C50" s="27">
        <f>500000+69000</f>
        <v>569000</v>
      </c>
      <c r="D50" s="27">
        <v>500000</v>
      </c>
      <c r="E50" s="27">
        <v>500000</v>
      </c>
    </row>
    <row r="51" spans="1:6" ht="45" x14ac:dyDescent="0.25">
      <c r="A51" s="26" t="s">
        <v>142</v>
      </c>
      <c r="B51" s="20" t="s">
        <v>143</v>
      </c>
      <c r="C51" s="27">
        <f>110000</f>
        <v>110000</v>
      </c>
      <c r="D51" s="27"/>
      <c r="E51" s="27"/>
    </row>
    <row r="52" spans="1:6" ht="60" x14ac:dyDescent="0.25">
      <c r="A52" s="26" t="s">
        <v>141</v>
      </c>
      <c r="B52" s="20" t="s">
        <v>140</v>
      </c>
      <c r="C52" s="27">
        <f>876000</f>
        <v>876000</v>
      </c>
      <c r="D52" s="27"/>
      <c r="E52" s="27"/>
    </row>
    <row r="53" spans="1:6" ht="45" x14ac:dyDescent="0.25">
      <c r="A53" s="26" t="s">
        <v>32</v>
      </c>
      <c r="B53" s="20" t="s">
        <v>31</v>
      </c>
      <c r="C53" s="27">
        <f>327117+2602883</f>
        <v>2930000</v>
      </c>
      <c r="D53" s="27">
        <v>327117</v>
      </c>
      <c r="E53" s="27">
        <v>327117</v>
      </c>
    </row>
    <row r="54" spans="1:6" ht="30" x14ac:dyDescent="0.25">
      <c r="A54" s="26" t="s">
        <v>116</v>
      </c>
      <c r="B54" s="20" t="s">
        <v>33</v>
      </c>
      <c r="C54" s="27">
        <f>642130-642130</f>
        <v>0</v>
      </c>
      <c r="D54" s="27">
        <v>642130</v>
      </c>
      <c r="E54" s="27">
        <v>642130</v>
      </c>
    </row>
    <row r="55" spans="1:6" ht="30" x14ac:dyDescent="0.25">
      <c r="A55" s="26" t="s">
        <v>35</v>
      </c>
      <c r="B55" s="20" t="s">
        <v>34</v>
      </c>
      <c r="C55" s="27">
        <f>8633099+6728393</f>
        <v>15361492</v>
      </c>
      <c r="D55" s="27">
        <v>8633099</v>
      </c>
      <c r="E55" s="27">
        <v>8633099</v>
      </c>
    </row>
    <row r="56" spans="1:6" ht="30" x14ac:dyDescent="0.25">
      <c r="A56" s="26" t="s">
        <v>37</v>
      </c>
      <c r="B56" s="20" t="s">
        <v>36</v>
      </c>
      <c r="C56" s="27">
        <f>12115146-8689146</f>
        <v>3426000</v>
      </c>
      <c r="D56" s="27">
        <v>12115146</v>
      </c>
      <c r="E56" s="27">
        <v>12115146</v>
      </c>
    </row>
    <row r="57" spans="1:6" x14ac:dyDescent="0.25">
      <c r="A57" s="26" t="s">
        <v>103</v>
      </c>
      <c r="B57" s="20" t="s">
        <v>104</v>
      </c>
      <c r="C57" s="27">
        <f>1978238.1+28538977.94+196443.89+100000+963263.22+54809.25+67500+1200000+25190.75-18114696.61+430150.11+13856.29</f>
        <v>15453732.940000001</v>
      </c>
      <c r="D57" s="27">
        <v>0</v>
      </c>
      <c r="E57" s="27">
        <v>0</v>
      </c>
    </row>
    <row r="58" spans="1:6" s="5" customFormat="1" ht="45" x14ac:dyDescent="0.25">
      <c r="A58" s="26" t="s">
        <v>39</v>
      </c>
      <c r="B58" s="20" t="s">
        <v>38</v>
      </c>
      <c r="C58" s="27">
        <f>5500000+38395700+27935621-60831321</f>
        <v>11000000</v>
      </c>
      <c r="D58" s="27">
        <v>5500000</v>
      </c>
      <c r="E58" s="27">
        <v>5500000</v>
      </c>
      <c r="F58" s="1"/>
    </row>
    <row r="59" spans="1:6" s="5" customFormat="1" ht="45" x14ac:dyDescent="0.25">
      <c r="A59" s="29" t="s">
        <v>117</v>
      </c>
      <c r="B59" s="20" t="s">
        <v>109</v>
      </c>
      <c r="C59" s="27">
        <f>120000-120000+659000</f>
        <v>659000</v>
      </c>
      <c r="D59" s="27">
        <v>120000</v>
      </c>
      <c r="E59" s="27">
        <v>120000</v>
      </c>
      <c r="F59" s="1"/>
    </row>
    <row r="60" spans="1:6" ht="30" x14ac:dyDescent="0.25">
      <c r="A60" s="26" t="s">
        <v>41</v>
      </c>
      <c r="B60" s="20" t="s">
        <v>40</v>
      </c>
      <c r="C60" s="27">
        <f>7500000-3300000</f>
        <v>4200000</v>
      </c>
      <c r="D60" s="27">
        <v>7500000</v>
      </c>
      <c r="E60" s="27">
        <v>7500000</v>
      </c>
    </row>
    <row r="61" spans="1:6" ht="45" x14ac:dyDescent="0.25">
      <c r="A61" s="26" t="s">
        <v>63</v>
      </c>
      <c r="B61" s="20" t="s">
        <v>49</v>
      </c>
      <c r="C61" s="27">
        <f>68700+6190.84+1820.16</f>
        <v>76711</v>
      </c>
      <c r="D61" s="27">
        <f t="shared" ref="D61:E61" si="1">68700+6190.84</f>
        <v>74890.84</v>
      </c>
      <c r="E61" s="27">
        <f t="shared" si="1"/>
        <v>74890.84</v>
      </c>
    </row>
    <row r="62" spans="1:6" ht="60" x14ac:dyDescent="0.25">
      <c r="A62" s="26" t="s">
        <v>79</v>
      </c>
      <c r="B62" s="20" t="s">
        <v>78</v>
      </c>
      <c r="C62" s="27">
        <f>14955.24+142500+20792.85</f>
        <v>178248.09</v>
      </c>
      <c r="D62" s="27">
        <f t="shared" ref="D62:E62" si="2">14955.24+142500+20792.85</f>
        <v>178248.09</v>
      </c>
      <c r="E62" s="27">
        <f t="shared" si="2"/>
        <v>178248.09</v>
      </c>
    </row>
    <row r="63" spans="1:6" ht="45" x14ac:dyDescent="0.25">
      <c r="A63" s="26" t="s">
        <v>81</v>
      </c>
      <c r="B63" s="20" t="s">
        <v>80</v>
      </c>
      <c r="C63" s="27">
        <f>74500+1702.69</f>
        <v>76202.69</v>
      </c>
      <c r="D63" s="27">
        <f t="shared" ref="D63:E63" si="3">74500+1702.69</f>
        <v>76202.69</v>
      </c>
      <c r="E63" s="27">
        <f t="shared" si="3"/>
        <v>76202.69</v>
      </c>
    </row>
    <row r="64" spans="1:6" ht="60" x14ac:dyDescent="0.25">
      <c r="A64" s="26" t="s">
        <v>111</v>
      </c>
      <c r="B64" s="20" t="s">
        <v>110</v>
      </c>
      <c r="C64" s="27">
        <v>6000</v>
      </c>
      <c r="D64" s="27">
        <v>6000</v>
      </c>
      <c r="E64" s="27">
        <v>6000</v>
      </c>
    </row>
    <row r="65" spans="1:5" ht="45" x14ac:dyDescent="0.25">
      <c r="A65" s="26" t="s">
        <v>64</v>
      </c>
      <c r="B65" s="20" t="s">
        <v>59</v>
      </c>
      <c r="C65" s="27">
        <v>3300</v>
      </c>
      <c r="D65" s="27">
        <v>3300</v>
      </c>
      <c r="E65" s="27">
        <v>3300</v>
      </c>
    </row>
    <row r="66" spans="1:5" ht="60" x14ac:dyDescent="0.25">
      <c r="A66" s="26" t="s">
        <v>52</v>
      </c>
      <c r="B66" s="20" t="s">
        <v>46</v>
      </c>
      <c r="C66" s="27">
        <v>774000</v>
      </c>
      <c r="D66" s="27">
        <v>774000</v>
      </c>
      <c r="E66" s="27">
        <v>774000</v>
      </c>
    </row>
    <row r="67" spans="1:5" ht="75" x14ac:dyDescent="0.25">
      <c r="A67" s="26" t="s">
        <v>88</v>
      </c>
      <c r="B67" s="20" t="s">
        <v>47</v>
      </c>
      <c r="C67" s="27">
        <v>45900</v>
      </c>
      <c r="D67" s="27">
        <v>45900</v>
      </c>
      <c r="E67" s="27">
        <v>45900</v>
      </c>
    </row>
    <row r="68" spans="1:5" ht="75" x14ac:dyDescent="0.25">
      <c r="A68" s="26" t="s">
        <v>149</v>
      </c>
      <c r="B68" s="20" t="s">
        <v>148</v>
      </c>
      <c r="C68" s="27">
        <f>22000</f>
        <v>22000</v>
      </c>
      <c r="D68" s="27"/>
      <c r="E68" s="27"/>
    </row>
    <row r="69" spans="1:5" ht="45" x14ac:dyDescent="0.25">
      <c r="A69" s="26" t="s">
        <v>74</v>
      </c>
      <c r="B69" s="20" t="s">
        <v>75</v>
      </c>
      <c r="C69" s="27">
        <f>37100</f>
        <v>37100</v>
      </c>
      <c r="D69" s="27">
        <v>37100</v>
      </c>
      <c r="E69" s="27">
        <v>37100</v>
      </c>
    </row>
    <row r="70" spans="1:5" ht="45" x14ac:dyDescent="0.25">
      <c r="A70" s="26" t="s">
        <v>76</v>
      </c>
      <c r="B70" s="20" t="s">
        <v>77</v>
      </c>
      <c r="C70" s="27">
        <f>26881.58+702000-1820.16</f>
        <v>727061.41999999993</v>
      </c>
      <c r="D70" s="27">
        <f t="shared" ref="D70:E70" si="4">26881.58+702000</f>
        <v>728881.58</v>
      </c>
      <c r="E70" s="27">
        <f t="shared" si="4"/>
        <v>728881.58</v>
      </c>
    </row>
    <row r="71" spans="1:5" ht="60" x14ac:dyDescent="0.25">
      <c r="A71" s="26" t="s">
        <v>53</v>
      </c>
      <c r="B71" s="20" t="s">
        <v>48</v>
      </c>
      <c r="C71" s="27">
        <f>24946.27+1132000+7698.78-51000</f>
        <v>1113645.05</v>
      </c>
      <c r="D71" s="27">
        <f t="shared" ref="D71:E71" si="5">24946.27+1132000+7698.78</f>
        <v>1164645.05</v>
      </c>
      <c r="E71" s="27">
        <f t="shared" si="5"/>
        <v>1164645.05</v>
      </c>
    </row>
    <row r="72" spans="1:5" ht="90" x14ac:dyDescent="0.25">
      <c r="A72" s="26" t="s">
        <v>112</v>
      </c>
      <c r="B72" s="26" t="s">
        <v>113</v>
      </c>
      <c r="C72" s="27">
        <v>20000</v>
      </c>
      <c r="D72" s="27">
        <v>20000</v>
      </c>
      <c r="E72" s="27">
        <v>20000</v>
      </c>
    </row>
    <row r="73" spans="1:5" ht="75" x14ac:dyDescent="0.25">
      <c r="A73" s="26" t="s">
        <v>114</v>
      </c>
      <c r="B73" s="26" t="s">
        <v>115</v>
      </c>
      <c r="C73" s="27">
        <v>10000</v>
      </c>
      <c r="D73" s="27">
        <v>10000</v>
      </c>
      <c r="E73" s="27">
        <v>10000</v>
      </c>
    </row>
    <row r="74" spans="1:5" ht="30" x14ac:dyDescent="0.25">
      <c r="A74" s="26" t="s">
        <v>157</v>
      </c>
      <c r="B74" s="26" t="s">
        <v>156</v>
      </c>
      <c r="C74" s="27">
        <v>51000</v>
      </c>
      <c r="D74" s="27"/>
      <c r="E74" s="27"/>
    </row>
    <row r="75" spans="1:5" ht="30" x14ac:dyDescent="0.25">
      <c r="A75" s="26" t="s">
        <v>43</v>
      </c>
      <c r="B75" s="20" t="s">
        <v>42</v>
      </c>
      <c r="C75" s="27">
        <f>120000+480000</f>
        <v>600000</v>
      </c>
      <c r="D75" s="27">
        <v>130000</v>
      </c>
      <c r="E75" s="27">
        <v>140000</v>
      </c>
    </row>
    <row r="76" spans="1:5" ht="45" x14ac:dyDescent="0.25">
      <c r="A76" s="26" t="s">
        <v>45</v>
      </c>
      <c r="B76" s="20" t="s">
        <v>44</v>
      </c>
      <c r="C76" s="27">
        <f>1500000+1920000+22400-1000000</f>
        <v>2442400</v>
      </c>
      <c r="D76" s="27">
        <f>1500000+22400</f>
        <v>1522400</v>
      </c>
      <c r="E76" s="27">
        <f>1500000+22400</f>
        <v>1522400</v>
      </c>
    </row>
    <row r="77" spans="1:5" ht="45" x14ac:dyDescent="0.25">
      <c r="A77" s="26" t="s">
        <v>145</v>
      </c>
      <c r="B77" s="20" t="s">
        <v>144</v>
      </c>
      <c r="C77" s="27">
        <f>1686000</f>
        <v>1686000</v>
      </c>
      <c r="D77" s="27"/>
      <c r="E77" s="27"/>
    </row>
    <row r="78" spans="1:5" ht="45" x14ac:dyDescent="0.25">
      <c r="A78" s="26" t="s">
        <v>50</v>
      </c>
      <c r="B78" s="20" t="s">
        <v>51</v>
      </c>
      <c r="C78" s="27">
        <f>37729134.11-34729134.11-1000000</f>
        <v>2000000</v>
      </c>
      <c r="D78" s="27">
        <v>3000000</v>
      </c>
      <c r="E78" s="27">
        <v>3000000</v>
      </c>
    </row>
    <row r="79" spans="1:5" ht="90" x14ac:dyDescent="0.25">
      <c r="A79" s="26" t="s">
        <v>147</v>
      </c>
      <c r="B79" s="20" t="s">
        <v>146</v>
      </c>
      <c r="C79" s="27">
        <v>112000</v>
      </c>
      <c r="D79" s="27"/>
      <c r="E79" s="27"/>
    </row>
    <row r="80" spans="1:5" ht="75" x14ac:dyDescent="0.25">
      <c r="A80" s="26" t="s">
        <v>139</v>
      </c>
      <c r="B80" s="20" t="s">
        <v>138</v>
      </c>
      <c r="C80" s="27">
        <f>31979.46+54265.99</f>
        <v>86245.45</v>
      </c>
      <c r="D80" s="27"/>
      <c r="E80" s="27"/>
    </row>
    <row r="81" spans="1:5" x14ac:dyDescent="0.25">
      <c r="A81" s="26" t="s">
        <v>126</v>
      </c>
      <c r="B81" s="20" t="s">
        <v>125</v>
      </c>
      <c r="C81" s="27">
        <f>1630007.58+21671240+4800</f>
        <v>23306047.579999998</v>
      </c>
      <c r="D81" s="27">
        <v>0</v>
      </c>
      <c r="E81" s="27">
        <v>0</v>
      </c>
    </row>
  </sheetData>
  <mergeCells count="11">
    <mergeCell ref="C1:E1"/>
    <mergeCell ref="C2:E2"/>
    <mergeCell ref="C5:E5"/>
    <mergeCell ref="C6:E6"/>
    <mergeCell ref="A7:E7"/>
    <mergeCell ref="C3:E3"/>
    <mergeCell ref="A9:A10"/>
    <mergeCell ref="B9:B10"/>
    <mergeCell ref="C9:C10"/>
    <mergeCell ref="D9:E9"/>
    <mergeCell ref="A8:B8"/>
  </mergeCells>
  <pageMargins left="0.6" right="0.25" top="0.47" bottom="0.57999999999999996" header="0.3" footer="0.3"/>
  <pageSetup paperSize="9" scale="52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Прирожение Нал. и ненал. доходы</vt:lpstr>
      <vt:lpstr>'Прирожение Нал. и ненал. доходы'!Заголовки_для_печати</vt:lpstr>
      <vt:lpstr>'Прирожение Нал. и ненал. доходы'!Область_печати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Фисюк Анжелика Владимирован</dc:creator>
  <dc:description>POI HSSF rep:2.49.0.156</dc:description>
  <cp:lastModifiedBy>Виктория Скрипченко</cp:lastModifiedBy>
  <cp:lastPrinted>2024-12-05T04:50:50Z</cp:lastPrinted>
  <dcterms:created xsi:type="dcterms:W3CDTF">2020-01-10T00:49:50Z</dcterms:created>
  <dcterms:modified xsi:type="dcterms:W3CDTF">2024-12-05T04:50:55Z</dcterms:modified>
</cp:coreProperties>
</file>