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cripchenko.CORP\Desktop\"/>
    </mc:Choice>
  </mc:AlternateContent>
  <bookViews>
    <workbookView xWindow="-120" yWindow="-120" windowWidth="29040" windowHeight="15720"/>
  </bookViews>
  <sheets>
    <sheet name="ДЧБ" sheetId="1" r:id="rId1"/>
  </sheets>
  <definedNames>
    <definedName name="APPT" localSheetId="0">ДЧБ!$A$14</definedName>
    <definedName name="FIO" localSheetId="0">ДЧБ!$J$14</definedName>
    <definedName name="LAST_CELL" localSheetId="0">ДЧБ!#REF!</definedName>
    <definedName name="SIGN" localSheetId="0">ДЧБ!$A$14:$L$16</definedName>
    <definedName name="_xlnm.Print_Titles" localSheetId="0">ДЧБ!$5:$5</definedName>
    <definedName name="_xlnm.Print_Area" localSheetId="0">ДЧБ!$A$1:$K$167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3" i="1" l="1"/>
  <c r="D151" i="1"/>
  <c r="D153" i="1"/>
  <c r="D131" i="1"/>
  <c r="D167" i="1"/>
  <c r="D69" i="1"/>
  <c r="D99" i="1"/>
  <c r="D96" i="1"/>
  <c r="D24" i="1"/>
  <c r="D23" i="1"/>
  <c r="D22" i="1"/>
  <c r="D21" i="1"/>
  <c r="D20" i="1"/>
  <c r="D19" i="1"/>
  <c r="D18" i="1"/>
  <c r="D17" i="1"/>
  <c r="D16" i="1"/>
  <c r="D14" i="1"/>
  <c r="D13" i="1"/>
  <c r="D12" i="1"/>
  <c r="D11" i="1"/>
  <c r="D10" i="1"/>
  <c r="I163" i="1"/>
  <c r="I162" i="1" s="1"/>
  <c r="I160" i="1"/>
  <c r="I157" i="1"/>
  <c r="I149" i="1"/>
  <c r="I148" i="1"/>
  <c r="I147" i="1"/>
  <c r="I146" i="1"/>
  <c r="I145" i="1"/>
  <c r="I144" i="1"/>
  <c r="I143" i="1"/>
  <c r="I141" i="1"/>
  <c r="I139" i="1"/>
  <c r="I136" i="1" s="1"/>
  <c r="I129" i="1" s="1"/>
  <c r="I137" i="1"/>
  <c r="I133" i="1"/>
  <c r="I132" i="1"/>
  <c r="I130" i="1"/>
  <c r="I123" i="1"/>
  <c r="I120" i="1"/>
  <c r="I116" i="1"/>
  <c r="I115" i="1"/>
  <c r="I113" i="1"/>
  <c r="I111" i="1"/>
  <c r="I104" i="1" s="1"/>
  <c r="I107" i="1"/>
  <c r="I102" i="1"/>
  <c r="I101" i="1" s="1"/>
  <c r="I100" i="1" s="1"/>
  <c r="I98" i="1"/>
  <c r="I95" i="1"/>
  <c r="I93" i="1"/>
  <c r="I90" i="1"/>
  <c r="I89" i="1"/>
  <c r="I88" i="1"/>
  <c r="I83" i="1"/>
  <c r="I81" i="1"/>
  <c r="I80" i="1"/>
  <c r="I77" i="1" s="1"/>
  <c r="I76" i="1" s="1"/>
  <c r="I78" i="1"/>
  <c r="I74" i="1"/>
  <c r="I71" i="1"/>
  <c r="I70" i="1"/>
  <c r="I68" i="1"/>
  <c r="I67" i="1"/>
  <c r="I62" i="1"/>
  <c r="I61" i="1"/>
  <c r="I57" i="1"/>
  <c r="I52" i="1"/>
  <c r="I51" i="1" s="1"/>
  <c r="I47" i="1"/>
  <c r="I44" i="1"/>
  <c r="I42" i="1"/>
  <c r="I41" i="1" s="1"/>
  <c r="I39" i="1"/>
  <c r="I37" i="1"/>
  <c r="I32" i="1"/>
  <c r="I31" i="1"/>
  <c r="I26" i="1"/>
  <c r="I25" i="1" s="1"/>
  <c r="I9" i="1"/>
  <c r="I8" i="1" s="1"/>
  <c r="I7" i="1" s="1"/>
  <c r="I6" i="1" s="1"/>
  <c r="F163" i="1"/>
  <c r="F162" i="1" s="1"/>
  <c r="F160" i="1"/>
  <c r="F157" i="1"/>
  <c r="F149" i="1"/>
  <c r="F148" i="1"/>
  <c r="F147" i="1"/>
  <c r="F146" i="1"/>
  <c r="F145" i="1"/>
  <c r="F144" i="1"/>
  <c r="F143" i="1"/>
  <c r="F141" i="1"/>
  <c r="F139" i="1"/>
  <c r="F137" i="1"/>
  <c r="F136" i="1" s="1"/>
  <c r="F129" i="1" s="1"/>
  <c r="F133" i="1"/>
  <c r="F132" i="1"/>
  <c r="F130" i="1"/>
  <c r="F123" i="1"/>
  <c r="F120" i="1"/>
  <c r="F116" i="1"/>
  <c r="F115" i="1"/>
  <c r="F113" i="1"/>
  <c r="F111" i="1"/>
  <c r="F107" i="1"/>
  <c r="F104" i="1" s="1"/>
  <c r="F102" i="1"/>
  <c r="F98" i="1"/>
  <c r="F95" i="1"/>
  <c r="F93" i="1"/>
  <c r="F90" i="1"/>
  <c r="F89" i="1"/>
  <c r="F88" i="1"/>
  <c r="F83" i="1"/>
  <c r="F81" i="1"/>
  <c r="F80" i="1"/>
  <c r="F77" i="1" s="1"/>
  <c r="F76" i="1" s="1"/>
  <c r="F78" i="1"/>
  <c r="F74" i="1"/>
  <c r="F71" i="1"/>
  <c r="F70" i="1"/>
  <c r="F68" i="1"/>
  <c r="F67" i="1"/>
  <c r="F62" i="1"/>
  <c r="F61" i="1" s="1"/>
  <c r="F57" i="1"/>
  <c r="F52" i="1"/>
  <c r="F51" i="1" s="1"/>
  <c r="F47" i="1"/>
  <c r="F44" i="1"/>
  <c r="F42" i="1"/>
  <c r="F41" i="1" s="1"/>
  <c r="F39" i="1"/>
  <c r="F37" i="1"/>
  <c r="F32" i="1"/>
  <c r="F31" i="1"/>
  <c r="F26" i="1"/>
  <c r="F25" i="1" s="1"/>
  <c r="F9" i="1"/>
  <c r="F8" i="1" s="1"/>
  <c r="F7" i="1" s="1"/>
  <c r="C167" i="1"/>
  <c r="C162" i="1" s="1"/>
  <c r="C164" i="1"/>
  <c r="C161" i="1"/>
  <c r="C160" i="1"/>
  <c r="C157" i="1"/>
  <c r="C156" i="1"/>
  <c r="C155" i="1"/>
  <c r="C153" i="1"/>
  <c r="C152" i="1"/>
  <c r="C151" i="1"/>
  <c r="C149" i="1"/>
  <c r="C148" i="1"/>
  <c r="C147" i="1"/>
  <c r="C146" i="1"/>
  <c r="C145" i="1"/>
  <c r="C144" i="1"/>
  <c r="C143" i="1"/>
  <c r="C141" i="1"/>
  <c r="C139" i="1"/>
  <c r="C138" i="1"/>
  <c r="C137" i="1"/>
  <c r="C136" i="1" s="1"/>
  <c r="C135" i="1"/>
  <c r="C133" i="1"/>
  <c r="C132" i="1"/>
  <c r="C130" i="1"/>
  <c r="C129" i="1" s="1"/>
  <c r="C123" i="1"/>
  <c r="C120" i="1"/>
  <c r="C116" i="1"/>
  <c r="C115" i="1" s="1"/>
  <c r="C113" i="1"/>
  <c r="C111" i="1"/>
  <c r="C110" i="1"/>
  <c r="C107" i="1"/>
  <c r="C105" i="1"/>
  <c r="C103" i="1"/>
  <c r="C102" i="1"/>
  <c r="C99" i="1"/>
  <c r="C98" i="1"/>
  <c r="C95" i="1"/>
  <c r="C93" i="1"/>
  <c r="C90" i="1"/>
  <c r="C89" i="1"/>
  <c r="C88" i="1"/>
  <c r="C83" i="1"/>
  <c r="C81" i="1"/>
  <c r="C80" i="1"/>
  <c r="C78" i="1"/>
  <c r="C77" i="1"/>
  <c r="C76" i="1" s="1"/>
  <c r="C75" i="1"/>
  <c r="C74" i="1" s="1"/>
  <c r="C70" i="1" s="1"/>
  <c r="C71" i="1"/>
  <c r="C69" i="1"/>
  <c r="C68" i="1"/>
  <c r="C67" i="1"/>
  <c r="C62" i="1"/>
  <c r="C61" i="1"/>
  <c r="C57" i="1"/>
  <c r="C52" i="1"/>
  <c r="C51" i="1"/>
  <c r="C48" i="1"/>
  <c r="C47" i="1"/>
  <c r="C44" i="1"/>
  <c r="C42" i="1"/>
  <c r="C41" i="1" s="1"/>
  <c r="C39" i="1"/>
  <c r="C37" i="1"/>
  <c r="C35" i="1"/>
  <c r="C33" i="1"/>
  <c r="C32" i="1"/>
  <c r="C31" i="1"/>
  <c r="C26" i="1"/>
  <c r="C25" i="1"/>
  <c r="C19" i="1"/>
  <c r="C18" i="1"/>
  <c r="C16" i="1"/>
  <c r="C14" i="1"/>
  <c r="C9" i="1" s="1"/>
  <c r="C8" i="1" s="1"/>
  <c r="C7" i="1" s="1"/>
  <c r="C11" i="1"/>
  <c r="C10" i="1"/>
  <c r="D113" i="1"/>
  <c r="K124" i="1"/>
  <c r="H124" i="1"/>
  <c r="E124" i="1"/>
  <c r="J107" i="1"/>
  <c r="J111" i="1"/>
  <c r="D138" i="1"/>
  <c r="G111" i="1"/>
  <c r="F101" i="1" l="1"/>
  <c r="F100" i="1" s="1"/>
  <c r="F6" i="1" s="1"/>
  <c r="C104" i="1"/>
  <c r="C101" i="1" s="1"/>
  <c r="C100" i="1" s="1"/>
  <c r="C6" i="1" s="1"/>
  <c r="J116" i="1"/>
  <c r="G116" i="1"/>
  <c r="D116" i="1"/>
  <c r="D111" i="1"/>
  <c r="D139" i="1"/>
  <c r="E126" i="1"/>
  <c r="H126" i="1"/>
  <c r="K126" i="1"/>
  <c r="D107" i="1" l="1"/>
  <c r="D152" i="1"/>
  <c r="D155" i="1" l="1"/>
  <c r="D156" i="1" l="1"/>
  <c r="D135" i="1"/>
  <c r="D105" i="1"/>
  <c r="D132" i="1"/>
  <c r="G132" i="1"/>
  <c r="E15" i="1"/>
  <c r="J89" i="1" l="1"/>
  <c r="G89" i="1"/>
  <c r="D89" i="1"/>
  <c r="J88" i="1"/>
  <c r="G88" i="1"/>
  <c r="D88" i="1"/>
  <c r="J83" i="1"/>
  <c r="G83" i="1"/>
  <c r="D83" i="1"/>
  <c r="J81" i="1"/>
  <c r="G81" i="1"/>
  <c r="D81" i="1"/>
  <c r="J80" i="1"/>
  <c r="G80" i="1"/>
  <c r="D80" i="1"/>
  <c r="J78" i="1"/>
  <c r="G78" i="1"/>
  <c r="D78" i="1"/>
  <c r="D161" i="1"/>
  <c r="E49" i="1"/>
  <c r="D48" i="1"/>
  <c r="E96" i="1"/>
  <c r="E97" i="1"/>
  <c r="D95" i="1"/>
  <c r="D75" i="1"/>
  <c r="J57" i="1"/>
  <c r="G57" i="1"/>
  <c r="E60" i="1"/>
  <c r="E59" i="1"/>
  <c r="E58" i="1"/>
  <c r="E57" i="1" s="1"/>
  <c r="D57" i="1"/>
  <c r="G9" i="1"/>
  <c r="J9" i="1"/>
  <c r="E23" i="1"/>
  <c r="E24" i="1"/>
  <c r="D164" i="1" l="1"/>
  <c r="E79" i="1"/>
  <c r="E95" i="1"/>
  <c r="J120" i="1"/>
  <c r="D110" i="1"/>
  <c r="G107" i="1"/>
  <c r="J149" i="1"/>
  <c r="G149" i="1"/>
  <c r="D149" i="1"/>
  <c r="D9" i="1" l="1"/>
  <c r="K122" i="1"/>
  <c r="H122" i="1"/>
  <c r="E122" i="1"/>
  <c r="D103" i="1"/>
  <c r="K135" i="1"/>
  <c r="E135" i="1"/>
  <c r="K155" i="1" l="1"/>
  <c r="H155" i="1"/>
  <c r="E155" i="1"/>
  <c r="H10" i="1"/>
  <c r="H11" i="1"/>
  <c r="H12" i="1"/>
  <c r="H13" i="1"/>
  <c r="H14" i="1"/>
  <c r="H16" i="1"/>
  <c r="H17" i="1"/>
  <c r="H18" i="1"/>
  <c r="H19" i="1"/>
  <c r="H20" i="1"/>
  <c r="H21" i="1"/>
  <c r="H22" i="1"/>
  <c r="H27" i="1"/>
  <c r="H28" i="1"/>
  <c r="H29" i="1"/>
  <c r="H30" i="1"/>
  <c r="H33" i="1"/>
  <c r="H34" i="1"/>
  <c r="H35" i="1"/>
  <c r="H36" i="1"/>
  <c r="H38" i="1"/>
  <c r="H40" i="1"/>
  <c r="H43" i="1"/>
  <c r="H45" i="1"/>
  <c r="H46" i="1"/>
  <c r="H48" i="1"/>
  <c r="H50" i="1"/>
  <c r="H53" i="1"/>
  <c r="H54" i="1"/>
  <c r="H55" i="1"/>
  <c r="H56" i="1"/>
  <c r="H58" i="1"/>
  <c r="H57" i="1" s="1"/>
  <c r="H63" i="1"/>
  <c r="H64" i="1"/>
  <c r="H65" i="1"/>
  <c r="H66" i="1"/>
  <c r="H69" i="1"/>
  <c r="H72" i="1"/>
  <c r="H73" i="1"/>
  <c r="H75" i="1"/>
  <c r="H78" i="1"/>
  <c r="H80" i="1"/>
  <c r="H81" i="1"/>
  <c r="H82" i="1"/>
  <c r="H83" i="1"/>
  <c r="H84" i="1"/>
  <c r="H85" i="1"/>
  <c r="H86" i="1"/>
  <c r="H87" i="1"/>
  <c r="H88" i="1"/>
  <c r="H89" i="1"/>
  <c r="H91" i="1"/>
  <c r="H92" i="1"/>
  <c r="H94" i="1"/>
  <c r="H96" i="1"/>
  <c r="H99" i="1"/>
  <c r="H103" i="1"/>
  <c r="H105" i="1"/>
  <c r="H106" i="1"/>
  <c r="H108" i="1"/>
  <c r="H109" i="1"/>
  <c r="H112" i="1"/>
  <c r="H114" i="1"/>
  <c r="H117" i="1"/>
  <c r="H118" i="1"/>
  <c r="H119" i="1"/>
  <c r="H121" i="1"/>
  <c r="H125" i="1"/>
  <c r="H127" i="1"/>
  <c r="H128" i="1"/>
  <c r="H131" i="1"/>
  <c r="H134" i="1"/>
  <c r="H138" i="1"/>
  <c r="H140" i="1"/>
  <c r="H142" i="1"/>
  <c r="H150" i="1"/>
  <c r="H151" i="1"/>
  <c r="H152" i="1"/>
  <c r="H153" i="1"/>
  <c r="H154" i="1"/>
  <c r="H156" i="1"/>
  <c r="H158" i="1"/>
  <c r="H159" i="1"/>
  <c r="H161" i="1"/>
  <c r="H164" i="1"/>
  <c r="H165" i="1"/>
  <c r="H166" i="1"/>
  <c r="H167" i="1"/>
  <c r="H9" i="1" l="1"/>
  <c r="K161" i="1"/>
  <c r="K167" i="1"/>
  <c r="J160" i="1"/>
  <c r="G160" i="1"/>
  <c r="D160" i="1"/>
  <c r="D157" i="1"/>
  <c r="G157" i="1"/>
  <c r="J157" i="1"/>
  <c r="E161" i="1"/>
  <c r="E167" i="1"/>
  <c r="E164" i="1"/>
  <c r="G163" i="1"/>
  <c r="E163" i="1"/>
  <c r="E165" i="1"/>
  <c r="E166" i="1"/>
  <c r="E160" i="1" l="1"/>
  <c r="H160" i="1"/>
  <c r="H157" i="1"/>
  <c r="G162" i="1"/>
  <c r="H162" i="1" s="1"/>
  <c r="H163" i="1"/>
  <c r="K160" i="1"/>
  <c r="D162" i="1"/>
  <c r="K166" i="1" l="1"/>
  <c r="E162" i="1"/>
  <c r="D47" i="1"/>
  <c r="D35" i="1"/>
  <c r="E35" i="1" s="1"/>
  <c r="D33" i="1"/>
  <c r="E109" i="1"/>
  <c r="J144" i="1"/>
  <c r="K144" i="1" s="1"/>
  <c r="E139" i="1"/>
  <c r="J132" i="1"/>
  <c r="K132" i="1" s="1"/>
  <c r="H132" i="1"/>
  <c r="H149" i="1"/>
  <c r="E149" i="1"/>
  <c r="J148" i="1"/>
  <c r="K148" i="1" s="1"/>
  <c r="G148" i="1"/>
  <c r="H148" i="1" s="1"/>
  <c r="D148" i="1"/>
  <c r="E148" i="1" s="1"/>
  <c r="J147" i="1"/>
  <c r="K147" i="1" s="1"/>
  <c r="G147" i="1"/>
  <c r="H147" i="1" s="1"/>
  <c r="D147" i="1"/>
  <c r="E147" i="1" s="1"/>
  <c r="J146" i="1"/>
  <c r="K146" i="1" s="1"/>
  <c r="G146" i="1"/>
  <c r="H146" i="1" s="1"/>
  <c r="D146" i="1"/>
  <c r="E146" i="1" s="1"/>
  <c r="G144" i="1"/>
  <c r="D144" i="1"/>
  <c r="J143" i="1"/>
  <c r="K143" i="1" s="1"/>
  <c r="G143" i="1"/>
  <c r="H143" i="1" s="1"/>
  <c r="E143" i="1"/>
  <c r="J141" i="1"/>
  <c r="K141" i="1" s="1"/>
  <c r="G141" i="1"/>
  <c r="H141" i="1" s="1"/>
  <c r="D141" i="1"/>
  <c r="E141" i="1" s="1"/>
  <c r="J139" i="1"/>
  <c r="K139" i="1" s="1"/>
  <c r="G139" i="1"/>
  <c r="H139" i="1" s="1"/>
  <c r="E138" i="1"/>
  <c r="J137" i="1"/>
  <c r="K137" i="1" s="1"/>
  <c r="G137" i="1"/>
  <c r="H137" i="1" s="1"/>
  <c r="D137" i="1"/>
  <c r="E137" i="1" s="1"/>
  <c r="J133" i="1"/>
  <c r="K133" i="1" s="1"/>
  <c r="G133" i="1"/>
  <c r="H133" i="1" s="1"/>
  <c r="D133" i="1"/>
  <c r="E133" i="1" s="1"/>
  <c r="J130" i="1"/>
  <c r="K130" i="1" s="1"/>
  <c r="G130" i="1"/>
  <c r="H130" i="1" s="1"/>
  <c r="D130" i="1"/>
  <c r="E130" i="1" s="1"/>
  <c r="J123" i="1"/>
  <c r="K123" i="1" s="1"/>
  <c r="G123" i="1"/>
  <c r="H123" i="1" s="1"/>
  <c r="K120" i="1"/>
  <c r="K116" i="1"/>
  <c r="H116" i="1"/>
  <c r="J113" i="1"/>
  <c r="G113" i="1"/>
  <c r="H113" i="1" s="1"/>
  <c r="H111" i="1"/>
  <c r="E111" i="1"/>
  <c r="K107" i="1"/>
  <c r="H107" i="1"/>
  <c r="E107" i="1"/>
  <c r="E114" i="1"/>
  <c r="J145" i="1"/>
  <c r="J102" i="1"/>
  <c r="J98" i="1"/>
  <c r="J95" i="1"/>
  <c r="J93" i="1"/>
  <c r="J90" i="1"/>
  <c r="J77" i="1"/>
  <c r="J74" i="1"/>
  <c r="J71" i="1"/>
  <c r="J68" i="1"/>
  <c r="J67" i="1" s="1"/>
  <c r="J62" i="1"/>
  <c r="J61" i="1" s="1"/>
  <c r="J52" i="1"/>
  <c r="J47" i="1"/>
  <c r="J44" i="1"/>
  <c r="J42" i="1"/>
  <c r="J39" i="1"/>
  <c r="J37" i="1"/>
  <c r="J32" i="1"/>
  <c r="J26" i="1"/>
  <c r="J25" i="1" s="1"/>
  <c r="J8" i="1"/>
  <c r="G145" i="1"/>
  <c r="G120" i="1"/>
  <c r="G102" i="1"/>
  <c r="G98" i="1"/>
  <c r="G95" i="1"/>
  <c r="G93" i="1"/>
  <c r="G90" i="1"/>
  <c r="G77" i="1"/>
  <c r="G74" i="1"/>
  <c r="G71" i="1"/>
  <c r="G68" i="1"/>
  <c r="G62" i="1"/>
  <c r="G52" i="1"/>
  <c r="G47" i="1"/>
  <c r="G44" i="1"/>
  <c r="G42" i="1"/>
  <c r="G39" i="1"/>
  <c r="G37" i="1"/>
  <c r="G32" i="1"/>
  <c r="G26" i="1"/>
  <c r="D145" i="1"/>
  <c r="D123" i="1"/>
  <c r="D120" i="1"/>
  <c r="D102" i="1"/>
  <c r="D98" i="1"/>
  <c r="D93" i="1"/>
  <c r="D90" i="1"/>
  <c r="D77" i="1"/>
  <c r="D74" i="1"/>
  <c r="D71" i="1"/>
  <c r="D68" i="1"/>
  <c r="D67" i="1" s="1"/>
  <c r="D62" i="1"/>
  <c r="D61" i="1" s="1"/>
  <c r="D52" i="1"/>
  <c r="D44" i="1"/>
  <c r="D42" i="1"/>
  <c r="D39" i="1"/>
  <c r="D37" i="1"/>
  <c r="D26" i="1"/>
  <c r="D25" i="1" s="1"/>
  <c r="D8" i="1"/>
  <c r="K138" i="1"/>
  <c r="K140" i="1"/>
  <c r="K142" i="1"/>
  <c r="K149" i="1"/>
  <c r="K150" i="1"/>
  <c r="K151" i="1"/>
  <c r="K152" i="1"/>
  <c r="K153" i="1"/>
  <c r="K154" i="1"/>
  <c r="K156" i="1"/>
  <c r="E140" i="1"/>
  <c r="E142" i="1"/>
  <c r="E150" i="1"/>
  <c r="E151" i="1"/>
  <c r="E152" i="1"/>
  <c r="E153" i="1"/>
  <c r="E154" i="1"/>
  <c r="E156" i="1"/>
  <c r="K117" i="1"/>
  <c r="K118" i="1"/>
  <c r="K119" i="1"/>
  <c r="K121" i="1"/>
  <c r="K125" i="1"/>
  <c r="K127" i="1"/>
  <c r="K128" i="1"/>
  <c r="E116" i="1"/>
  <c r="E117" i="1"/>
  <c r="E118" i="1"/>
  <c r="E119" i="1"/>
  <c r="E121" i="1"/>
  <c r="E125" i="1"/>
  <c r="E127" i="1"/>
  <c r="E128" i="1"/>
  <c r="L47" i="1"/>
  <c r="K159" i="1"/>
  <c r="K158" i="1"/>
  <c r="K134" i="1"/>
  <c r="K131" i="1"/>
  <c r="K114" i="1"/>
  <c r="K112" i="1"/>
  <c r="K111" i="1"/>
  <c r="K110" i="1"/>
  <c r="K108" i="1"/>
  <c r="K106" i="1"/>
  <c r="K105" i="1"/>
  <c r="K103" i="1"/>
  <c r="K102" i="1" s="1"/>
  <c r="K99" i="1"/>
  <c r="K98" i="1" s="1"/>
  <c r="K96" i="1"/>
  <c r="K95" i="1" s="1"/>
  <c r="K94" i="1"/>
  <c r="K93" i="1" s="1"/>
  <c r="K92" i="1"/>
  <c r="K91" i="1"/>
  <c r="K89" i="1"/>
  <c r="K88" i="1"/>
  <c r="K87" i="1"/>
  <c r="K86" i="1"/>
  <c r="K85" i="1"/>
  <c r="K84" i="1"/>
  <c r="K83" i="1"/>
  <c r="K82" i="1"/>
  <c r="K81" i="1"/>
  <c r="K80" i="1"/>
  <c r="K78" i="1"/>
  <c r="K75" i="1"/>
  <c r="K74" i="1" s="1"/>
  <c r="K73" i="1"/>
  <c r="K72" i="1"/>
  <c r="K69" i="1"/>
  <c r="K68" i="1" s="1"/>
  <c r="K67" i="1" s="1"/>
  <c r="K66" i="1"/>
  <c r="K65" i="1"/>
  <c r="K64" i="1"/>
  <c r="K63" i="1"/>
  <c r="K58" i="1"/>
  <c r="K57" i="1" s="1"/>
  <c r="K56" i="1"/>
  <c r="K55" i="1"/>
  <c r="K54" i="1"/>
  <c r="K53" i="1"/>
  <c r="K50" i="1"/>
  <c r="K48" i="1"/>
  <c r="K46" i="1"/>
  <c r="K45" i="1"/>
  <c r="K43" i="1"/>
  <c r="K42" i="1" s="1"/>
  <c r="K40" i="1"/>
  <c r="K39" i="1" s="1"/>
  <c r="K38" i="1"/>
  <c r="K37" i="1" s="1"/>
  <c r="K36" i="1"/>
  <c r="K35" i="1"/>
  <c r="K34" i="1"/>
  <c r="K33" i="1"/>
  <c r="K30" i="1"/>
  <c r="K29" i="1"/>
  <c r="K28" i="1"/>
  <c r="K27" i="1"/>
  <c r="K22" i="1"/>
  <c r="K21" i="1"/>
  <c r="K20" i="1"/>
  <c r="K19" i="1"/>
  <c r="K18" i="1"/>
  <c r="K17" i="1"/>
  <c r="K16" i="1"/>
  <c r="K14" i="1"/>
  <c r="K13" i="1"/>
  <c r="K12" i="1"/>
  <c r="K11" i="1"/>
  <c r="K10" i="1"/>
  <c r="E10" i="1"/>
  <c r="E11" i="1"/>
  <c r="E12" i="1"/>
  <c r="E13" i="1"/>
  <c r="E14" i="1"/>
  <c r="E16" i="1"/>
  <c r="E17" i="1"/>
  <c r="E18" i="1"/>
  <c r="E19" i="1"/>
  <c r="E20" i="1"/>
  <c r="E21" i="1"/>
  <c r="E22" i="1"/>
  <c r="E27" i="1"/>
  <c r="E28" i="1"/>
  <c r="E29" i="1"/>
  <c r="E30" i="1"/>
  <c r="E33" i="1"/>
  <c r="E34" i="1"/>
  <c r="E36" i="1"/>
  <c r="E38" i="1"/>
  <c r="E37" i="1" s="1"/>
  <c r="E40" i="1"/>
  <c r="E39" i="1" s="1"/>
  <c r="E43" i="1"/>
  <c r="E42" i="1" s="1"/>
  <c r="E45" i="1"/>
  <c r="E46" i="1"/>
  <c r="E48" i="1"/>
  <c r="E50" i="1"/>
  <c r="E53" i="1"/>
  <c r="E54" i="1"/>
  <c r="E55" i="1"/>
  <c r="E56" i="1"/>
  <c r="E63" i="1"/>
  <c r="E64" i="1"/>
  <c r="E65" i="1"/>
  <c r="E66" i="1"/>
  <c r="E69" i="1"/>
  <c r="E68" i="1" s="1"/>
  <c r="E67" i="1" s="1"/>
  <c r="E72" i="1"/>
  <c r="E73" i="1"/>
  <c r="E75" i="1"/>
  <c r="E74" i="1" s="1"/>
  <c r="E78" i="1"/>
  <c r="E80" i="1"/>
  <c r="E81" i="1"/>
  <c r="E82" i="1"/>
  <c r="E83" i="1"/>
  <c r="E84" i="1"/>
  <c r="E85" i="1"/>
  <c r="E86" i="1"/>
  <c r="E87" i="1"/>
  <c r="E88" i="1"/>
  <c r="E89" i="1"/>
  <c r="E91" i="1"/>
  <c r="E92" i="1"/>
  <c r="E94" i="1"/>
  <c r="E93" i="1" s="1"/>
  <c r="E99" i="1"/>
  <c r="E98" i="1" s="1"/>
  <c r="E103" i="1"/>
  <c r="E102" i="1" s="1"/>
  <c r="E105" i="1"/>
  <c r="E106" i="1"/>
  <c r="E108" i="1"/>
  <c r="E110" i="1"/>
  <c r="E112" i="1"/>
  <c r="E113" i="1"/>
  <c r="E131" i="1"/>
  <c r="E132" i="1"/>
  <c r="E134" i="1"/>
  <c r="E158" i="1"/>
  <c r="E159" i="1"/>
  <c r="K113" i="1" l="1"/>
  <c r="E9" i="1"/>
  <c r="E8" i="1" s="1"/>
  <c r="K9" i="1"/>
  <c r="K8" i="1" s="1"/>
  <c r="J31" i="1"/>
  <c r="D115" i="1"/>
  <c r="D104" i="1" s="1"/>
  <c r="D32" i="1"/>
  <c r="D31" i="1" s="1"/>
  <c r="H39" i="1"/>
  <c r="H93" i="1"/>
  <c r="H44" i="1"/>
  <c r="H98" i="1"/>
  <c r="G41" i="1"/>
  <c r="H42" i="1"/>
  <c r="H95" i="1"/>
  <c r="H47" i="1"/>
  <c r="H102" i="1"/>
  <c r="H52" i="1"/>
  <c r="H120" i="1"/>
  <c r="H145" i="1"/>
  <c r="G61" i="1"/>
  <c r="H61" i="1" s="1"/>
  <c r="H62" i="1"/>
  <c r="G67" i="1"/>
  <c r="H67" i="1" s="1"/>
  <c r="H68" i="1"/>
  <c r="G8" i="1"/>
  <c r="H8" i="1" s="1"/>
  <c r="G70" i="1"/>
  <c r="H71" i="1"/>
  <c r="G25" i="1"/>
  <c r="H25" i="1" s="1"/>
  <c r="H26" i="1"/>
  <c r="H74" i="1"/>
  <c r="H32" i="1"/>
  <c r="H77" i="1"/>
  <c r="H37" i="1"/>
  <c r="H90" i="1"/>
  <c r="J41" i="1"/>
  <c r="H144" i="1"/>
  <c r="K165" i="1"/>
  <c r="K157" i="1"/>
  <c r="E145" i="1"/>
  <c r="D41" i="1"/>
  <c r="E157" i="1"/>
  <c r="E144" i="1"/>
  <c r="G51" i="1"/>
  <c r="G115" i="1"/>
  <c r="E123" i="1"/>
  <c r="K145" i="1"/>
  <c r="K136" i="1" s="1"/>
  <c r="K129" i="1" s="1"/>
  <c r="D51" i="1"/>
  <c r="J51" i="1"/>
  <c r="D70" i="1"/>
  <c r="J115" i="1"/>
  <c r="J104" i="1" s="1"/>
  <c r="J70" i="1"/>
  <c r="G136" i="1"/>
  <c r="J136" i="1"/>
  <c r="J129" i="1" s="1"/>
  <c r="D136" i="1"/>
  <c r="D129" i="1" s="1"/>
  <c r="G31" i="1"/>
  <c r="D76" i="1"/>
  <c r="J76" i="1"/>
  <c r="G76" i="1"/>
  <c r="E120" i="1"/>
  <c r="K115" i="1"/>
  <c r="K104" i="1" s="1"/>
  <c r="K47" i="1"/>
  <c r="K71" i="1"/>
  <c r="K70" i="1" s="1"/>
  <c r="K44" i="1"/>
  <c r="K41" i="1" s="1"/>
  <c r="K90" i="1"/>
  <c r="E62" i="1"/>
  <c r="E61" i="1" s="1"/>
  <c r="E26" i="1"/>
  <c r="E25" i="1" s="1"/>
  <c r="K52" i="1"/>
  <c r="K51" i="1" s="1"/>
  <c r="E71" i="1"/>
  <c r="E70" i="1" s="1"/>
  <c r="E47" i="1"/>
  <c r="K26" i="1"/>
  <c r="K25" i="1" s="1"/>
  <c r="K62" i="1"/>
  <c r="K61" i="1" s="1"/>
  <c r="E90" i="1"/>
  <c r="E52" i="1"/>
  <c r="E51" i="1" s="1"/>
  <c r="K77" i="1"/>
  <c r="E77" i="1"/>
  <c r="E44" i="1"/>
  <c r="E41" i="1" s="1"/>
  <c r="E32" i="1"/>
  <c r="E31" i="1" s="1"/>
  <c r="K32" i="1"/>
  <c r="K31" i="1" s="1"/>
  <c r="G129" i="1" l="1"/>
  <c r="H129" i="1" s="1"/>
  <c r="H136" i="1"/>
  <c r="G104" i="1"/>
  <c r="H104" i="1" s="1"/>
  <c r="H115" i="1"/>
  <c r="H51" i="1"/>
  <c r="E136" i="1"/>
  <c r="E129" i="1" s="1"/>
  <c r="H76" i="1"/>
  <c r="H70" i="1"/>
  <c r="H31" i="1"/>
  <c r="H41" i="1"/>
  <c r="K164" i="1"/>
  <c r="J163" i="1"/>
  <c r="D7" i="1"/>
  <c r="J7" i="1"/>
  <c r="E115" i="1"/>
  <c r="E104" i="1" s="1"/>
  <c r="G7" i="1"/>
  <c r="J101" i="1"/>
  <c r="D101" i="1"/>
  <c r="K76" i="1"/>
  <c r="K7" i="1" s="1"/>
  <c r="E76" i="1"/>
  <c r="E7" i="1" s="1"/>
  <c r="G101" i="1" l="1"/>
  <c r="G100" i="1" s="1"/>
  <c r="H100" i="1" s="1"/>
  <c r="H7" i="1"/>
  <c r="J100" i="1"/>
  <c r="K100" i="1" s="1"/>
  <c r="K6" i="1" s="1"/>
  <c r="K101" i="1"/>
  <c r="E101" i="1"/>
  <c r="D100" i="1"/>
  <c r="E100" i="1" s="1"/>
  <c r="E6" i="1" s="1"/>
  <c r="K163" i="1"/>
  <c r="J162" i="1"/>
  <c r="K162" i="1" s="1"/>
  <c r="H6" i="1" l="1"/>
  <c r="D6" i="1"/>
  <c r="H101" i="1"/>
  <c r="J6" i="1"/>
  <c r="G6" i="1"/>
</calcChain>
</file>

<file path=xl/sharedStrings.xml><?xml version="1.0" encoding="utf-8"?>
<sst xmlns="http://schemas.openxmlformats.org/spreadsheetml/2006/main" count="338" uniqueCount="306">
  <si>
    <t>КВД</t>
  </si>
  <si>
    <t>Наименование КВД</t>
  </si>
  <si>
    <t>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</si>
  <si>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</si>
  <si>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</si>
  <si>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</si>
  <si>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</si>
  <si>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</si>
  <si>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</si>
  <si>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</si>
  <si>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</si>
  <si>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</si>
  <si>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</si>
  <si>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</si>
  <si>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</si>
  <si>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</si>
  <si>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</si>
  <si>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</si>
  <si>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</si>
  <si>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</si>
  <si>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</si>
  <si>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</si>
  <si>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</si>
  <si>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</si>
  <si>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</si>
  <si>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</si>
  <si>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</si>
  <si>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</si>
  <si>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</si>
  <si>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</si>
  <si>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</si>
  <si>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</si>
  <si>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</si>
  <si>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1 05 03000 01 0000 110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</si>
  <si>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</si>
  <si>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</si>
  <si>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</si>
  <si>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1 05 04000 02 0000 110</t>
  </si>
  <si>
    <t>Налог, взимаемый в связи с применением патентной системы налогообложения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</si>
  <si>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</si>
  <si>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</si>
  <si>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</si>
  <si>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</si>
  <si>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</si>
  <si>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</si>
  <si>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</si>
  <si>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</si>
  <si>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</si>
  <si>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</si>
  <si>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</si>
  <si>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</si>
  <si>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</si>
  <si>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</si>
  <si>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</si>
  <si>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</si>
  <si>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</si>
  <si>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</si>
  <si>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1 08 07150 01 4000 110</t>
  </si>
  <si>
    <t>Государственная пошлина за выдачу разрешения на установку рекламной конструкции(прочие поступления)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</si>
  <si>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</si>
  <si>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</si>
  <si>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</si>
  <si>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</si>
  <si>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</si>
  <si>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</si>
  <si>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</si>
  <si>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</si>
  <si>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1 11 05012 04 0002 120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</si>
  <si>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</si>
  <si>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</si>
  <si>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</si>
  <si>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</si>
  <si>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</si>
  <si>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</si>
  <si>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</si>
  <si>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</si>
  <si>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</si>
  <si>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</si>
  <si>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</si>
  <si>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</si>
  <si>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</si>
  <si>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</si>
  <si>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</si>
  <si>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</si>
  <si>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</si>
  <si>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</si>
  <si>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</si>
  <si>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</si>
  <si>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</si>
  <si>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</si>
  <si>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</si>
  <si>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</si>
  <si>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</si>
  <si>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</si>
  <si>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</si>
  <si>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</si>
  <si>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</si>
  <si>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</si>
  <si>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</si>
  <si>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</si>
  <si>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</si>
  <si>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</si>
  <si>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</si>
  <si>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</si>
  <si>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</si>
  <si>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</si>
  <si>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</si>
  <si>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</si>
  <si>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</si>
  <si>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</si>
  <si>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</si>
  <si>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</si>
  <si>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</si>
  <si>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</si>
  <si>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</si>
  <si>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</si>
  <si>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</si>
  <si>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</si>
  <si>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</si>
  <si>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</si>
  <si>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</si>
  <si>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</si>
  <si>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</si>
  <si>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</si>
  <si>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</si>
  <si>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</si>
  <si>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</si>
  <si>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</si>
  <si>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</si>
  <si>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</si>
  <si>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</si>
  <si>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</si>
  <si>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</si>
  <si>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</si>
  <si>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</si>
  <si>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</si>
  <si>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</si>
  <si>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</si>
  <si>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</si>
  <si>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</si>
  <si>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</si>
  <si>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</si>
  <si>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</si>
  <si>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</si>
  <si>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</si>
  <si>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1 16 10000 00 0000 140</t>
  </si>
  <si>
    <t>Платежи в целях возмещения причиненного ущерба (убытков)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</si>
  <si>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</si>
  <si>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</si>
  <si>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</si>
  <si>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</si>
  <si>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</si>
  <si>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</si>
  <si>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</si>
  <si>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</si>
  <si>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</si>
  <si>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</si>
  <si>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</si>
  <si>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</si>
  <si>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</si>
  <si>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</si>
  <si>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</si>
  <si>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</si>
  <si>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</si>
  <si>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</si>
  <si>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</si>
  <si>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</si>
  <si>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</si>
  <si>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</si>
  <si>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</si>
  <si>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</si>
  <si>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</si>
  <si>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</si>
  <si>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</si>
  <si>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</si>
  <si>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</si>
  <si>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</si>
  <si>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</si>
  <si>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</si>
  <si>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</si>
  <si>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</si>
  <si>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</si>
  <si>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</si>
  <si>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</si>
  <si>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</si>
  <si>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</si>
  <si>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</si>
  <si>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</si>
  <si>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</si>
  <si>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</si>
  <si>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</si>
  <si>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</si>
  <si>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</si>
  <si>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</si>
  <si>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</si>
  <si>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</si>
  <si>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 бюджет -всего</t>
  </si>
  <si>
    <t>Отклонение 2025 год</t>
  </si>
  <si>
    <t>Отклонение 2027 год</t>
  </si>
  <si>
    <t>руб.</t>
  </si>
  <si>
    <t>Доходы городского бюджета на 2025 год и плановый период 2026-2027 годов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</si>
  <si>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</si>
  <si>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</si>
  <si>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</si>
  <si>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</si>
  <si>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</si>
  <si>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</si>
  <si>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</si>
  <si>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</si>
  <si>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</si>
  <si>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Субвенции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</si>
  <si>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</si>
  <si>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 xml:space="preserve">Прочие субсидии бюджетам городских округов, в т.ч. 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</si>
  <si>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</si>
  <si>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</si>
  <si>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</si>
  <si>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</si>
  <si>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</si>
  <si>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</si>
  <si>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</si>
  <si>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</si>
  <si>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</si>
  <si>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</si>
  <si>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</si>
  <si>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</si>
  <si>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</si>
  <si>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</si>
  <si>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</si>
  <si>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</si>
  <si>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</si>
  <si>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</si>
  <si>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</si>
  <si>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</si>
  <si>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 xml:space="preserve">2 02 25454 04 0000 150 </t>
  </si>
  <si>
    <t>Субсидии бюджетам городских округов на создание модельных муниципальных библиотек</t>
  </si>
  <si>
    <t xml:space="preserve">2 19 00000 00 0000 000 </t>
  </si>
  <si>
    <t>2 19 45424 04 0000 150</t>
  </si>
  <si>
    <t>2 19 45505 04 0000 150</t>
  </si>
  <si>
    <t xml:space="preserve">2 19 60010 04 0000 150 </t>
  </si>
  <si>
    <t xml:space="preserve"> 2 19 35303 04 0000 150</t>
  </si>
  <si>
    <t>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</si>
  <si>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</si>
  <si>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</si>
  <si>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</si>
  <si>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</si>
  <si>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</si>
  <si>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</si>
  <si>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</si>
  <si>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</si>
  <si>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</si>
  <si>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</si>
  <si>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</si>
  <si>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</si>
  <si>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Отклонение    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</si>
  <si>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</si>
  <si>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</si>
  <si>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</si>
  <si>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</si>
  <si>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</si>
  <si>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</si>
  <si>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</si>
  <si>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</si>
  <si>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</si>
  <si>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</si>
  <si>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</si>
  <si>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</si>
  <si>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1 01 02010 01 1000 110</t>
  </si>
  <si>
    <t>1 01 02020 01 1000 110</t>
  </si>
  <si>
    <t>1 01 02021 01 1000 110</t>
  </si>
  <si>
    <t>1 01 02022 01 1000 110</t>
  </si>
  <si>
    <t>1 01 02030 01 1000 110</t>
  </si>
  <si>
    <t>1 01 02040 01 1000 110</t>
  </si>
  <si>
    <t>1 01 02080 01 1000 110</t>
  </si>
  <si>
    <t>1 01 02130 01 1000 110</t>
  </si>
  <si>
    <t>1 01 02140 01 1000 110</t>
  </si>
  <si>
    <t>1 01 02150 01 1000 110</t>
  </si>
  <si>
    <t>1 01 02160 01 1000 110</t>
  </si>
  <si>
    <t>1 01 02170 01 1000 110</t>
  </si>
  <si>
    <t>2 02 49999 04 0000 150</t>
  </si>
  <si>
    <t>Прочие межбюджетные трансферты, передаваемые бюджетам городских округов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</si>
  <si>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</si>
  <si>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</si>
  <si>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</si>
  <si>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</si>
  <si>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101 0221 001 1000 110</t>
  </si>
  <si>
    <t>101 0223 001 1000 110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</si>
  <si>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</si>
  <si>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</si>
  <si>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</si>
  <si>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</si>
  <si>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</si>
  <si>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1 16 07090 04 0000 140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</si>
  <si>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</si>
  <si>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1 08 03010 01 1060 110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</si>
  <si>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</si>
  <si>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</si>
  <si>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 xml:space="preserve">2025 год 5 решение </t>
  </si>
  <si>
    <t xml:space="preserve">2026 год 5 решение </t>
  </si>
  <si>
    <t xml:space="preserve">2027 год 5 решение 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</si>
  <si>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</si>
  <si>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 xml:space="preserve">             </t>
  </si>
  <si>
    <t>Субсидии бюджетам муниципальных образований на проведение комплексных кадастровых работ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</si>
  <si>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</si>
  <si>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 xml:space="preserve">2025 год 6 решение </t>
  </si>
  <si>
    <t xml:space="preserve">2026 год 6 решение </t>
  </si>
  <si>
    <t xml:space="preserve">2027 год 6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</si>
</sst>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name val="Arial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2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49" fontId="1" fillId="0" borderId="1" xfId="0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left"/>
    </xf>
    <xf numFmtId="4" fontId="6" fillId="0" borderId="1" xfId="0" applyNumberFormat="1" applyFont="1" applyFill="1" applyBorder="1" applyAlignment="1" applyProtection="1">
      <alignment horizontal="right"/>
    </xf>
    <xf numFmtId="4" fontId="6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/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168"/>
  <sheetViews>
    <sheetView showGridLines="0" tabSelected="1" zoomScaleNormal="100" zoomScaleSheetLayoutView="87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67" sqref="F167"/>
    </sheetView>
  </sheetViews>
  <sheetFormatPr defaultRowHeight="12.75" customHeight="1" outlineLevelRow="3" x14ac:dyDescent="0.25"/>
  <cols>
    <col min="1" max="1" width="23.28515625" style="2" customWidth="1"/>
    <col min="2" max="2" width="55.42578125" style="1" customWidth="1"/>
    <col min="3" max="4" width="19" style="1" customWidth="1"/>
    <col min="5" max="5" width="20" style="3" customWidth="1"/>
    <col min="6" max="7" width="19" style="1" customWidth="1"/>
    <col min="8" max="8" width="17.85546875" style="1" customWidth="1"/>
    <col min="9" max="11" width="19" style="1" customWidth="1"/>
    <col min="12" max="14" width="9.140625" style="1" customWidth="1"/>
    <col min="15" max="16384" width="9.140625" style="1"/>
  </cols>
  <sheetData>
    <row r="1" spans="1:14" s="8" customFormat="1" ht="12.75" customHeight="1" x14ac:dyDescent="0.25">
      <c r="A1" s="4"/>
      <c r="B1" s="5"/>
      <c r="C1" s="6"/>
      <c r="D1" s="6"/>
      <c r="E1" s="7"/>
      <c r="F1" s="6"/>
      <c r="G1" s="6"/>
      <c r="H1" s="6"/>
      <c r="K1" s="9"/>
      <c r="L1" s="10"/>
      <c r="M1" s="10"/>
      <c r="N1" s="10"/>
    </row>
    <row r="2" spans="1:14" s="8" customFormat="1" ht="15" x14ac:dyDescent="0.25">
      <c r="A2" s="11"/>
      <c r="B2" s="12"/>
      <c r="C2" s="10"/>
      <c r="D2" s="10"/>
      <c r="E2" s="13"/>
      <c r="F2" s="10"/>
      <c r="G2" s="10"/>
      <c r="H2" s="10"/>
      <c r="I2" s="10"/>
      <c r="J2" s="10"/>
      <c r="K2" s="10"/>
      <c r="L2" s="10"/>
      <c r="M2" s="10"/>
      <c r="N2" s="10"/>
    </row>
    <row r="3" spans="1:14" s="8" customFormat="1" ht="25.5" x14ac:dyDescent="0.35">
      <c r="A3" s="14" t="s">
        <v>200</v>
      </c>
      <c r="B3" s="15"/>
      <c r="C3" s="16"/>
      <c r="D3" s="16"/>
      <c r="E3" s="17"/>
      <c r="F3" s="16"/>
      <c r="G3" s="16"/>
      <c r="H3" s="16"/>
      <c r="I3" s="16"/>
      <c r="J3" s="16"/>
      <c r="K3" s="16"/>
      <c r="L3" s="16"/>
      <c r="M3" s="16"/>
      <c r="N3" s="16"/>
    </row>
    <row r="4" spans="1:14" s="8" customFormat="1" ht="15" x14ac:dyDescent="0.25">
      <c r="A4" s="11"/>
      <c r="B4" s="12"/>
      <c r="C4" s="10"/>
      <c r="D4" s="10"/>
      <c r="E4" s="13"/>
      <c r="F4" s="10"/>
      <c r="G4" s="10"/>
      <c r="H4" s="10"/>
      <c r="I4" s="10"/>
      <c r="J4" s="10"/>
      <c r="K4" s="18" t="s">
        <v>199</v>
      </c>
      <c r="L4" s="10"/>
      <c r="M4" s="10"/>
      <c r="N4" s="10"/>
    </row>
    <row r="5" spans="1:14" s="20" customFormat="1" ht="28.5" x14ac:dyDescent="0.25">
      <c r="A5" s="19" t="s">
        <v>0</v>
      </c>
      <c r="B5" s="19" t="s">
        <v>1</v>
      </c>
      <c r="C5" s="19" t="s">
        <v>296</v>
      </c>
      <c r="D5" s="19" t="s">
        <v>303</v>
      </c>
      <c r="E5" s="19" t="s">
        <v>197</v>
      </c>
      <c r="F5" s="19" t="s">
        <v>297</v>
      </c>
      <c r="G5" s="19" t="s">
        <v>304</v>
      </c>
      <c r="H5" s="19" t="s">
        <v>253</v>
      </c>
      <c r="I5" s="19" t="s">
        <v>298</v>
      </c>
      <c r="J5" s="19" t="s">
        <v>305</v>
      </c>
      <c r="K5" s="19" t="s">
        <v>198</v>
      </c>
    </row>
    <row r="6" spans="1:14" s="8" customFormat="1" ht="18.75" x14ac:dyDescent="0.3">
      <c r="A6" s="21" t="s">
        <v>2</v>
      </c>
      <c r="B6" s="22" t="s">
        <v>196</v>
      </c>
      <c r="C6" s="23">
        <f>C7+C100</f>
        <v>5917078504.4499989</v>
      </c>
      <c r="D6" s="23">
        <f>D7+D100</f>
        <v>6853124404.5599995</v>
      </c>
      <c r="E6" s="24">
        <f t="shared" ref="E6:K6" si="0">E7+E100</f>
        <v>936045900.11000037</v>
      </c>
      <c r="F6" s="23">
        <f t="shared" ref="F6" si="1">F7+F100</f>
        <v>4229569219.6300001</v>
      </c>
      <c r="G6" s="23">
        <f t="shared" si="0"/>
        <v>4229569219.6300001</v>
      </c>
      <c r="H6" s="23">
        <f t="shared" si="0"/>
        <v>0</v>
      </c>
      <c r="I6" s="23">
        <f t="shared" ref="I6" si="2">I7+I100</f>
        <v>3793368460.9299998</v>
      </c>
      <c r="J6" s="23">
        <f t="shared" si="0"/>
        <v>3793368460.9299998</v>
      </c>
      <c r="K6" s="23">
        <f t="shared" si="0"/>
        <v>0</v>
      </c>
    </row>
    <row r="7" spans="1:14" s="8" customFormat="1" ht="28.5" x14ac:dyDescent="0.2">
      <c r="A7" s="19" t="s">
        <v>3</v>
      </c>
      <c r="B7" s="25" t="s">
        <v>4</v>
      </c>
      <c r="C7" s="26">
        <f>C8+C25+C31+C41+C47+C51+C61+C67+C70+C76</f>
        <v>2684983112.5299997</v>
      </c>
      <c r="D7" s="26">
        <f>D8+D25+D31+D41+D47+D51+D61+D67+D70+D76</f>
        <v>3597675175.27</v>
      </c>
      <c r="E7" s="27">
        <f t="shared" ref="E7:K7" si="3">E8+E25+E31+E41+E47+E51+E61+E67+E70+E76</f>
        <v>912692062.74000001</v>
      </c>
      <c r="F7" s="26">
        <f t="shared" ref="F7" si="4">F8+F25+F31+F41+F47+F51+F61+F67+F70+F76</f>
        <v>1914627978.53</v>
      </c>
      <c r="G7" s="26">
        <f t="shared" si="3"/>
        <v>1914627978.53</v>
      </c>
      <c r="H7" s="26">
        <f t="shared" ref="H7:H76" si="5">G7-F7</f>
        <v>0</v>
      </c>
      <c r="I7" s="26">
        <f t="shared" ref="I7" si="6">I8+I25+I31+I41+I47+I51+I61+I67+I70+I76</f>
        <v>1757945439</v>
      </c>
      <c r="J7" s="26">
        <f t="shared" si="3"/>
        <v>1757945439</v>
      </c>
      <c r="K7" s="26">
        <f t="shared" si="3"/>
        <v>0</v>
      </c>
    </row>
    <row r="8" spans="1:14" s="8" customFormat="1" ht="28.5" outlineLevel="1" x14ac:dyDescent="0.2">
      <c r="A8" s="19" t="s">
        <v>5</v>
      </c>
      <c r="B8" s="25" t="s">
        <v>6</v>
      </c>
      <c r="C8" s="26">
        <f>C9</f>
        <v>2356066000</v>
      </c>
      <c r="D8" s="26">
        <f>D9</f>
        <v>3145022000</v>
      </c>
      <c r="E8" s="27">
        <f t="shared" ref="E8:K8" si="7">E9</f>
        <v>788956000</v>
      </c>
      <c r="F8" s="26">
        <f t="shared" si="7"/>
        <v>1640445000</v>
      </c>
      <c r="G8" s="26">
        <f t="shared" si="7"/>
        <v>1640445000</v>
      </c>
      <c r="H8" s="26">
        <f t="shared" si="5"/>
        <v>0</v>
      </c>
      <c r="I8" s="26">
        <f t="shared" si="7"/>
        <v>1476052600</v>
      </c>
      <c r="J8" s="26">
        <f t="shared" si="7"/>
        <v>1476052600</v>
      </c>
      <c r="K8" s="26">
        <f t="shared" si="7"/>
        <v>0</v>
      </c>
    </row>
    <row r="9" spans="1:14" s="8" customFormat="1" ht="28.5" outlineLevel="2" x14ac:dyDescent="0.2">
      <c r="A9" s="19" t="s">
        <v>7</v>
      </c>
      <c r="B9" s="25" t="s">
        <v>8</v>
      </c>
      <c r="C9" s="26">
        <f t="shared" ref="C9" si="8">SUM(C10:C24)</f>
        <v>2356066000</v>
      </c>
      <c r="D9" s="26">
        <f t="shared" ref="D9:F9" si="9">SUM(D10:D24)</f>
        <v>3145022000</v>
      </c>
      <c r="E9" s="27">
        <f t="shared" si="9"/>
        <v>788956000</v>
      </c>
      <c r="F9" s="26">
        <f t="shared" si="9"/>
        <v>1640445000</v>
      </c>
      <c r="G9" s="26">
        <f t="shared" ref="G9" si="10">SUM(G10:G24)</f>
        <v>1640445000</v>
      </c>
      <c r="H9" s="26">
        <f t="shared" ref="H9:I9" si="11">SUM(H10:H24)</f>
        <v>0</v>
      </c>
      <c r="I9" s="26">
        <f t="shared" si="11"/>
        <v>1476052600</v>
      </c>
      <c r="J9" s="26">
        <f t="shared" ref="J9" si="12">SUM(J10:J24)</f>
        <v>1476052600</v>
      </c>
      <c r="K9" s="26">
        <f t="shared" ref="K9" si="13">SUM(K10:K24)</f>
        <v>0</v>
      </c>
    </row>
    <row r="10" spans="1:14" s="8" customFormat="1" ht="204" outlineLevel="3" x14ac:dyDescent="0.2">
      <c r="A10" s="28" t="s">
        <v>266</v>
      </c>
      <c r="B10" s="29" t="s">
        <v>254</v>
      </c>
      <c r="C10" s="30">
        <f>1281404400+163623600</f>
        <v>1445028000</v>
      </c>
      <c r="D10" s="30">
        <f>1281404400+163623600+257365000</f>
        <v>1702393000</v>
      </c>
      <c r="E10" s="31">
        <f t="shared" ref="E10:E73" si="14">D10-C10</f>
        <v>257365000</v>
      </c>
      <c r="F10" s="30">
        <v>1153178200</v>
      </c>
      <c r="G10" s="30">
        <v>1153178200</v>
      </c>
      <c r="H10" s="30">
        <f t="shared" si="5"/>
        <v>0</v>
      </c>
      <c r="I10" s="30">
        <v>1037778800</v>
      </c>
      <c r="J10" s="30">
        <v>1037778800</v>
      </c>
      <c r="K10" s="30">
        <f t="shared" ref="K10:K73" si="15">J10-I10</f>
        <v>0</v>
      </c>
    </row>
    <row r="11" spans="1:14" s="8" customFormat="1" ht="165.75" outlineLevel="3" x14ac:dyDescent="0.2">
      <c r="A11" s="28" t="s">
        <v>267</v>
      </c>
      <c r="B11" s="29" t="s">
        <v>255</v>
      </c>
      <c r="C11" s="30">
        <f>1042200-209200</f>
        <v>833000</v>
      </c>
      <c r="D11" s="30">
        <f>1042200-209200+209000</f>
        <v>1042000</v>
      </c>
      <c r="E11" s="31">
        <f t="shared" si="14"/>
        <v>209000</v>
      </c>
      <c r="F11" s="30">
        <v>938000</v>
      </c>
      <c r="G11" s="30">
        <v>938000</v>
      </c>
      <c r="H11" s="30">
        <f t="shared" si="5"/>
        <v>0</v>
      </c>
      <c r="I11" s="30">
        <v>844200</v>
      </c>
      <c r="J11" s="30">
        <v>844200</v>
      </c>
      <c r="K11" s="30">
        <f t="shared" si="15"/>
        <v>0</v>
      </c>
    </row>
    <row r="12" spans="1:14" s="8" customFormat="1" ht="153" outlineLevel="3" x14ac:dyDescent="0.2">
      <c r="A12" s="28" t="s">
        <v>268</v>
      </c>
      <c r="B12" s="29" t="s">
        <v>256</v>
      </c>
      <c r="C12" s="30">
        <v>152400</v>
      </c>
      <c r="D12" s="30">
        <f>152400-147400</f>
        <v>5000</v>
      </c>
      <c r="E12" s="31">
        <f t="shared" si="14"/>
        <v>-147400</v>
      </c>
      <c r="F12" s="30">
        <v>137300</v>
      </c>
      <c r="G12" s="30">
        <v>137300</v>
      </c>
      <c r="H12" s="30">
        <f t="shared" si="5"/>
        <v>0</v>
      </c>
      <c r="I12" s="30">
        <v>123500</v>
      </c>
      <c r="J12" s="30">
        <v>123500</v>
      </c>
      <c r="K12" s="30">
        <f t="shared" si="15"/>
        <v>0</v>
      </c>
    </row>
    <row r="13" spans="1:14" s="8" customFormat="1" ht="153" outlineLevel="3" x14ac:dyDescent="0.2">
      <c r="A13" s="28" t="s">
        <v>269</v>
      </c>
      <c r="B13" s="29" t="s">
        <v>257</v>
      </c>
      <c r="C13" s="30">
        <v>27300</v>
      </c>
      <c r="D13" s="30">
        <f>27300-27300</f>
        <v>0</v>
      </c>
      <c r="E13" s="31">
        <f t="shared" si="14"/>
        <v>-27300</v>
      </c>
      <c r="F13" s="30">
        <v>24600</v>
      </c>
      <c r="G13" s="30">
        <v>24600</v>
      </c>
      <c r="H13" s="30">
        <f t="shared" si="5"/>
        <v>0</v>
      </c>
      <c r="I13" s="30">
        <v>22000</v>
      </c>
      <c r="J13" s="30">
        <v>22000</v>
      </c>
      <c r="K13" s="30">
        <f t="shared" si="15"/>
        <v>0</v>
      </c>
    </row>
    <row r="14" spans="1:14" s="8" customFormat="1" ht="140.25" outlineLevel="3" x14ac:dyDescent="0.2">
      <c r="A14" s="28" t="s">
        <v>270</v>
      </c>
      <c r="B14" s="29" t="s">
        <v>258</v>
      </c>
      <c r="C14" s="30">
        <f>6110200+1067800</f>
        <v>7178000</v>
      </c>
      <c r="D14" s="30">
        <f>6110200+1067800-1069000</f>
        <v>6109000</v>
      </c>
      <c r="E14" s="31">
        <f t="shared" si="14"/>
        <v>-1069000</v>
      </c>
      <c r="F14" s="30">
        <v>5499200</v>
      </c>
      <c r="G14" s="30">
        <v>5499200</v>
      </c>
      <c r="H14" s="30">
        <f t="shared" si="5"/>
        <v>0</v>
      </c>
      <c r="I14" s="30">
        <v>4949200</v>
      </c>
      <c r="J14" s="30">
        <v>4949200</v>
      </c>
      <c r="K14" s="30">
        <f t="shared" si="15"/>
        <v>0</v>
      </c>
    </row>
    <row r="15" spans="1:14" s="8" customFormat="1" ht="153.75" customHeight="1" outlineLevel="3" x14ac:dyDescent="0.2">
      <c r="A15" s="32" t="s">
        <v>282</v>
      </c>
      <c r="B15" s="33" t="s">
        <v>283</v>
      </c>
      <c r="C15" s="30">
        <v>1000</v>
      </c>
      <c r="D15" s="30">
        <v>1000</v>
      </c>
      <c r="E15" s="31">
        <f t="shared" si="14"/>
        <v>0</v>
      </c>
      <c r="F15" s="30"/>
      <c r="G15" s="30"/>
      <c r="H15" s="30"/>
      <c r="I15" s="30"/>
      <c r="J15" s="30"/>
      <c r="K15" s="30"/>
    </row>
    <row r="16" spans="1:14" s="8" customFormat="1" ht="102" outlineLevel="3" x14ac:dyDescent="0.2">
      <c r="A16" s="28" t="s">
        <v>271</v>
      </c>
      <c r="B16" s="29" t="s">
        <v>259</v>
      </c>
      <c r="C16" s="30">
        <f>241881500+2615500</f>
        <v>244497000</v>
      </c>
      <c r="D16" s="30">
        <f>241881500+2615500+65292000</f>
        <v>309789000</v>
      </c>
      <c r="E16" s="31">
        <f t="shared" si="14"/>
        <v>65292000</v>
      </c>
      <c r="F16" s="30">
        <v>217693400</v>
      </c>
      <c r="G16" s="30">
        <v>217693400</v>
      </c>
      <c r="H16" s="30">
        <f t="shared" si="5"/>
        <v>0</v>
      </c>
      <c r="I16" s="30">
        <v>195924000</v>
      </c>
      <c r="J16" s="30">
        <v>195924000</v>
      </c>
      <c r="K16" s="30">
        <f t="shared" si="15"/>
        <v>0</v>
      </c>
    </row>
    <row r="17" spans="1:11" s="8" customFormat="1" ht="408" outlineLevel="3" x14ac:dyDescent="0.2">
      <c r="A17" s="28" t="s">
        <v>272</v>
      </c>
      <c r="B17" s="29" t="s">
        <v>260</v>
      </c>
      <c r="C17" s="30">
        <v>206963600</v>
      </c>
      <c r="D17" s="30">
        <f>206963600+65830400</f>
        <v>272794000</v>
      </c>
      <c r="E17" s="31">
        <f t="shared" si="14"/>
        <v>65830400</v>
      </c>
      <c r="F17" s="30">
        <v>186267400</v>
      </c>
      <c r="G17" s="30">
        <v>186267400</v>
      </c>
      <c r="H17" s="30">
        <f t="shared" si="5"/>
        <v>0</v>
      </c>
      <c r="I17" s="30">
        <v>167640600</v>
      </c>
      <c r="J17" s="30">
        <v>167640600</v>
      </c>
      <c r="K17" s="30">
        <f t="shared" si="15"/>
        <v>0</v>
      </c>
    </row>
    <row r="18" spans="1:11" s="8" customFormat="1" ht="114.75" outlineLevel="3" x14ac:dyDescent="0.2">
      <c r="A18" s="28" t="s">
        <v>273</v>
      </c>
      <c r="B18" s="29" t="s">
        <v>261</v>
      </c>
      <c r="C18" s="30">
        <f>2233400-172400</f>
        <v>2061000</v>
      </c>
      <c r="D18" s="30">
        <f>2233400-172400+172000</f>
        <v>2233000</v>
      </c>
      <c r="E18" s="31">
        <f t="shared" si="14"/>
        <v>172000</v>
      </c>
      <c r="F18" s="30">
        <v>1744200</v>
      </c>
      <c r="G18" s="30">
        <v>1744200</v>
      </c>
      <c r="H18" s="30">
        <f t="shared" si="5"/>
        <v>0</v>
      </c>
      <c r="I18" s="30">
        <v>1304000</v>
      </c>
      <c r="J18" s="30">
        <v>1304000</v>
      </c>
      <c r="K18" s="30">
        <f t="shared" si="15"/>
        <v>0</v>
      </c>
    </row>
    <row r="19" spans="1:11" s="8" customFormat="1" ht="114.75" outlineLevel="3" x14ac:dyDescent="0.2">
      <c r="A19" s="28" t="s">
        <v>274</v>
      </c>
      <c r="B19" s="29" t="s">
        <v>262</v>
      </c>
      <c r="C19" s="30">
        <f>9053200+811800</f>
        <v>9865000</v>
      </c>
      <c r="D19" s="30">
        <f>9053200+811800+541000</f>
        <v>10406000</v>
      </c>
      <c r="E19" s="31">
        <f t="shared" si="14"/>
        <v>541000</v>
      </c>
      <c r="F19" s="30">
        <v>8147700</v>
      </c>
      <c r="G19" s="30">
        <v>8147700</v>
      </c>
      <c r="H19" s="30">
        <f t="shared" si="5"/>
        <v>0</v>
      </c>
      <c r="I19" s="30">
        <v>7333100</v>
      </c>
      <c r="J19" s="30">
        <v>7333100</v>
      </c>
      <c r="K19" s="30">
        <f t="shared" si="15"/>
        <v>0</v>
      </c>
    </row>
    <row r="20" spans="1:11" s="8" customFormat="1" ht="261.75" customHeight="1" outlineLevel="3" x14ac:dyDescent="0.2">
      <c r="A20" s="28" t="s">
        <v>275</v>
      </c>
      <c r="B20" s="29" t="s">
        <v>263</v>
      </c>
      <c r="C20" s="30">
        <v>57572500</v>
      </c>
      <c r="D20" s="30">
        <f>57572500+36633500</f>
        <v>94206000</v>
      </c>
      <c r="E20" s="31">
        <f t="shared" si="14"/>
        <v>36633500</v>
      </c>
      <c r="F20" s="30">
        <v>51815100</v>
      </c>
      <c r="G20" s="30">
        <v>51815100</v>
      </c>
      <c r="H20" s="30">
        <f t="shared" si="5"/>
        <v>0</v>
      </c>
      <c r="I20" s="30">
        <v>46633700</v>
      </c>
      <c r="J20" s="30">
        <v>46633700</v>
      </c>
      <c r="K20" s="30">
        <f t="shared" si="15"/>
        <v>0</v>
      </c>
    </row>
    <row r="21" spans="1:11" s="8" customFormat="1" ht="272.25" customHeight="1" outlineLevel="3" x14ac:dyDescent="0.2">
      <c r="A21" s="28" t="s">
        <v>276</v>
      </c>
      <c r="B21" s="29" t="s">
        <v>264</v>
      </c>
      <c r="C21" s="30">
        <v>10125200</v>
      </c>
      <c r="D21" s="30">
        <f>10125200+586800</f>
        <v>10712000</v>
      </c>
      <c r="E21" s="31">
        <f t="shared" si="14"/>
        <v>586800</v>
      </c>
      <c r="F21" s="30">
        <v>9112800</v>
      </c>
      <c r="G21" s="30">
        <v>9112800</v>
      </c>
      <c r="H21" s="30">
        <f t="shared" si="5"/>
        <v>0</v>
      </c>
      <c r="I21" s="30">
        <v>8201600</v>
      </c>
      <c r="J21" s="30">
        <v>8201600</v>
      </c>
      <c r="K21" s="30">
        <f t="shared" si="15"/>
        <v>0</v>
      </c>
    </row>
    <row r="22" spans="1:11" s="8" customFormat="1" ht="267.75" outlineLevel="3" x14ac:dyDescent="0.2">
      <c r="A22" s="28" t="s">
        <v>277</v>
      </c>
      <c r="B22" s="29" t="s">
        <v>265</v>
      </c>
      <c r="C22" s="30">
        <v>6541000</v>
      </c>
      <c r="D22" s="30">
        <f>6541000-5362000</f>
        <v>1179000</v>
      </c>
      <c r="E22" s="31">
        <f t="shared" si="14"/>
        <v>-5362000</v>
      </c>
      <c r="F22" s="30">
        <v>5887100</v>
      </c>
      <c r="G22" s="30">
        <v>5887100</v>
      </c>
      <c r="H22" s="30">
        <f t="shared" si="5"/>
        <v>0</v>
      </c>
      <c r="I22" s="30">
        <v>5297900</v>
      </c>
      <c r="J22" s="30">
        <v>5297900</v>
      </c>
      <c r="K22" s="30">
        <f t="shared" si="15"/>
        <v>0</v>
      </c>
    </row>
    <row r="23" spans="1:11" s="8" customFormat="1" ht="76.5" outlineLevel="3" x14ac:dyDescent="0.2">
      <c r="A23" s="34" t="s">
        <v>284</v>
      </c>
      <c r="B23" s="33" t="s">
        <v>294</v>
      </c>
      <c r="C23" s="35">
        <v>361257000</v>
      </c>
      <c r="D23" s="35">
        <f>361257000+368340000</f>
        <v>729597000</v>
      </c>
      <c r="E23" s="31">
        <f t="shared" si="14"/>
        <v>368340000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</row>
    <row r="24" spans="1:11" s="8" customFormat="1" ht="76.5" outlineLevel="3" x14ac:dyDescent="0.2">
      <c r="A24" s="34" t="s">
        <v>285</v>
      </c>
      <c r="B24" s="33" t="s">
        <v>295</v>
      </c>
      <c r="C24" s="35">
        <v>3964000</v>
      </c>
      <c r="D24" s="35">
        <f>3964000+592000</f>
        <v>4556000</v>
      </c>
      <c r="E24" s="31">
        <f t="shared" si="14"/>
        <v>592000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</row>
    <row r="25" spans="1:11" s="8" customFormat="1" ht="28.5" outlineLevel="1" x14ac:dyDescent="0.2">
      <c r="A25" s="19" t="s">
        <v>9</v>
      </c>
      <c r="B25" s="25" t="s">
        <v>10</v>
      </c>
      <c r="C25" s="26">
        <f>C26</f>
        <v>15693600</v>
      </c>
      <c r="D25" s="26">
        <f>D26</f>
        <v>15693600</v>
      </c>
      <c r="E25" s="27">
        <f t="shared" ref="E25:K25" si="16">E26</f>
        <v>0</v>
      </c>
      <c r="F25" s="26">
        <f t="shared" si="16"/>
        <v>16698200</v>
      </c>
      <c r="G25" s="26">
        <f t="shared" si="16"/>
        <v>16698200</v>
      </c>
      <c r="H25" s="26">
        <f t="shared" si="5"/>
        <v>0</v>
      </c>
      <c r="I25" s="26">
        <f t="shared" si="16"/>
        <v>24962900</v>
      </c>
      <c r="J25" s="26">
        <f t="shared" si="16"/>
        <v>24962900</v>
      </c>
      <c r="K25" s="26">
        <f t="shared" si="16"/>
        <v>0</v>
      </c>
    </row>
    <row r="26" spans="1:11" s="8" customFormat="1" ht="28.5" outlineLevel="2" x14ac:dyDescent="0.2">
      <c r="A26" s="19" t="s">
        <v>11</v>
      </c>
      <c r="B26" s="25" t="s">
        <v>12</v>
      </c>
      <c r="C26" s="26">
        <f>SUM(C27:C30)</f>
        <v>15693600</v>
      </c>
      <c r="D26" s="26">
        <f>SUM(D27:D30)</f>
        <v>15693600</v>
      </c>
      <c r="E26" s="27">
        <f t="shared" ref="E26:K26" si="17">SUM(E27:E30)</f>
        <v>0</v>
      </c>
      <c r="F26" s="26">
        <f t="shared" ref="F26" si="18">SUM(F27:F30)</f>
        <v>16698200</v>
      </c>
      <c r="G26" s="26">
        <f t="shared" si="17"/>
        <v>16698200</v>
      </c>
      <c r="H26" s="26">
        <f t="shared" si="5"/>
        <v>0</v>
      </c>
      <c r="I26" s="26">
        <f t="shared" ref="I26" si="19">SUM(I27:I30)</f>
        <v>24962900</v>
      </c>
      <c r="J26" s="26">
        <f t="shared" si="17"/>
        <v>24962900</v>
      </c>
      <c r="K26" s="26">
        <f t="shared" si="17"/>
        <v>0</v>
      </c>
    </row>
    <row r="27" spans="1:11" s="8" customFormat="1" ht="89.25" outlineLevel="3" x14ac:dyDescent="0.2">
      <c r="A27" s="28" t="s">
        <v>13</v>
      </c>
      <c r="B27" s="29" t="s">
        <v>14</v>
      </c>
      <c r="C27" s="30">
        <v>8208000</v>
      </c>
      <c r="D27" s="30">
        <v>8208000</v>
      </c>
      <c r="E27" s="31">
        <f t="shared" si="14"/>
        <v>0</v>
      </c>
      <c r="F27" s="30">
        <v>8742100</v>
      </c>
      <c r="G27" s="30">
        <v>8742100</v>
      </c>
      <c r="H27" s="30">
        <f t="shared" si="5"/>
        <v>0</v>
      </c>
      <c r="I27" s="30">
        <v>13049100</v>
      </c>
      <c r="J27" s="30">
        <v>13049100</v>
      </c>
      <c r="K27" s="30">
        <f t="shared" si="15"/>
        <v>0</v>
      </c>
    </row>
    <row r="28" spans="1:11" s="8" customFormat="1" ht="102" outlineLevel="3" x14ac:dyDescent="0.2">
      <c r="A28" s="28" t="s">
        <v>15</v>
      </c>
      <c r="B28" s="29" t="s">
        <v>16</v>
      </c>
      <c r="C28" s="30">
        <v>37000</v>
      </c>
      <c r="D28" s="30">
        <v>37000</v>
      </c>
      <c r="E28" s="31">
        <f t="shared" si="14"/>
        <v>0</v>
      </c>
      <c r="F28" s="30">
        <v>40500</v>
      </c>
      <c r="G28" s="30">
        <v>40500</v>
      </c>
      <c r="H28" s="30">
        <f t="shared" si="5"/>
        <v>0</v>
      </c>
      <c r="I28" s="30">
        <v>60500</v>
      </c>
      <c r="J28" s="30">
        <v>60500</v>
      </c>
      <c r="K28" s="30">
        <f t="shared" si="15"/>
        <v>0</v>
      </c>
    </row>
    <row r="29" spans="1:11" s="8" customFormat="1" ht="89.25" outlineLevel="3" x14ac:dyDescent="0.2">
      <c r="A29" s="28" t="s">
        <v>17</v>
      </c>
      <c r="B29" s="29" t="s">
        <v>18</v>
      </c>
      <c r="C29" s="30">
        <v>8289300</v>
      </c>
      <c r="D29" s="30">
        <v>8289300</v>
      </c>
      <c r="E29" s="31">
        <f t="shared" si="14"/>
        <v>0</v>
      </c>
      <c r="F29" s="30">
        <v>8785200</v>
      </c>
      <c r="G29" s="30">
        <v>8785200</v>
      </c>
      <c r="H29" s="30">
        <f t="shared" si="5"/>
        <v>0</v>
      </c>
      <c r="I29" s="30">
        <v>13102900</v>
      </c>
      <c r="J29" s="30">
        <v>13102900</v>
      </c>
      <c r="K29" s="30">
        <f t="shared" si="15"/>
        <v>0</v>
      </c>
    </row>
    <row r="30" spans="1:11" s="8" customFormat="1" ht="89.25" outlineLevel="3" x14ac:dyDescent="0.2">
      <c r="A30" s="28" t="s">
        <v>19</v>
      </c>
      <c r="B30" s="29" t="s">
        <v>20</v>
      </c>
      <c r="C30" s="30">
        <v>-840700</v>
      </c>
      <c r="D30" s="30">
        <v>-840700</v>
      </c>
      <c r="E30" s="31">
        <f t="shared" si="14"/>
        <v>0</v>
      </c>
      <c r="F30" s="30">
        <v>-869600</v>
      </c>
      <c r="G30" s="30">
        <v>-869600</v>
      </c>
      <c r="H30" s="30">
        <f t="shared" si="5"/>
        <v>0</v>
      </c>
      <c r="I30" s="30">
        <v>-1249600</v>
      </c>
      <c r="J30" s="30">
        <v>-1249600</v>
      </c>
      <c r="K30" s="30">
        <f t="shared" si="15"/>
        <v>0</v>
      </c>
    </row>
    <row r="31" spans="1:11" s="8" customFormat="1" ht="28.5" outlineLevel="1" x14ac:dyDescent="0.2">
      <c r="A31" s="19" t="s">
        <v>21</v>
      </c>
      <c r="B31" s="25" t="s">
        <v>22</v>
      </c>
      <c r="C31" s="26">
        <f>C32+C37+C39</f>
        <v>83075600</v>
      </c>
      <c r="D31" s="26">
        <f>D32+D37+D39</f>
        <v>83075600</v>
      </c>
      <c r="E31" s="27">
        <f t="shared" ref="E31:K31" si="20">E32+E37+E39</f>
        <v>0</v>
      </c>
      <c r="F31" s="26">
        <f t="shared" ref="F31" si="21">F32+F37+F39</f>
        <v>69226800</v>
      </c>
      <c r="G31" s="26">
        <f t="shared" si="20"/>
        <v>69226800</v>
      </c>
      <c r="H31" s="26">
        <f t="shared" si="5"/>
        <v>0</v>
      </c>
      <c r="I31" s="26">
        <f t="shared" ref="I31" si="22">I32+I37+I39</f>
        <v>65413600</v>
      </c>
      <c r="J31" s="26">
        <f t="shared" si="20"/>
        <v>65413600</v>
      </c>
      <c r="K31" s="26">
        <f t="shared" si="20"/>
        <v>0</v>
      </c>
    </row>
    <row r="32" spans="1:11" s="8" customFormat="1" ht="28.5" outlineLevel="2" x14ac:dyDescent="0.2">
      <c r="A32" s="19" t="s">
        <v>23</v>
      </c>
      <c r="B32" s="25" t="s">
        <v>24</v>
      </c>
      <c r="C32" s="26">
        <f>SUM(C33:C36)</f>
        <v>71008600</v>
      </c>
      <c r="D32" s="26">
        <f>SUM(D33:D36)</f>
        <v>71008600</v>
      </c>
      <c r="E32" s="27">
        <f t="shared" ref="E32:K32" si="23">SUM(E33:E36)</f>
        <v>0</v>
      </c>
      <c r="F32" s="26">
        <f t="shared" ref="F32" si="24">SUM(F33:F36)</f>
        <v>58986800</v>
      </c>
      <c r="G32" s="26">
        <f t="shared" si="23"/>
        <v>58986800</v>
      </c>
      <c r="H32" s="26">
        <f t="shared" si="5"/>
        <v>0</v>
      </c>
      <c r="I32" s="26">
        <f t="shared" ref="I32" si="25">SUM(I33:I36)</f>
        <v>57133600</v>
      </c>
      <c r="J32" s="26">
        <f t="shared" si="23"/>
        <v>57133600</v>
      </c>
      <c r="K32" s="26">
        <f t="shared" si="23"/>
        <v>0</v>
      </c>
    </row>
    <row r="33" spans="1:12" s="8" customFormat="1" ht="51" outlineLevel="3" x14ac:dyDescent="0.2">
      <c r="A33" s="28" t="s">
        <v>25</v>
      </c>
      <c r="B33" s="36" t="s">
        <v>26</v>
      </c>
      <c r="C33" s="30">
        <f>39366200+12040000</f>
        <v>51406200</v>
      </c>
      <c r="D33" s="30">
        <f>39366200+12040000</f>
        <v>51406200</v>
      </c>
      <c r="E33" s="31">
        <f t="shared" si="14"/>
        <v>0</v>
      </c>
      <c r="F33" s="30">
        <v>40462400</v>
      </c>
      <c r="G33" s="30">
        <v>40462400</v>
      </c>
      <c r="H33" s="30">
        <f t="shared" si="5"/>
        <v>0</v>
      </c>
      <c r="I33" s="30">
        <v>39381000</v>
      </c>
      <c r="J33" s="30">
        <v>39381000</v>
      </c>
      <c r="K33" s="30">
        <f t="shared" si="15"/>
        <v>0</v>
      </c>
    </row>
    <row r="34" spans="1:12" s="8" customFormat="1" ht="51" outlineLevel="3" x14ac:dyDescent="0.2">
      <c r="A34" s="28" t="s">
        <v>27</v>
      </c>
      <c r="B34" s="36" t="s">
        <v>28</v>
      </c>
      <c r="C34" s="30">
        <v>1000</v>
      </c>
      <c r="D34" s="30">
        <v>1000</v>
      </c>
      <c r="E34" s="31">
        <f t="shared" si="14"/>
        <v>0</v>
      </c>
      <c r="F34" s="30">
        <v>0</v>
      </c>
      <c r="G34" s="30">
        <v>0</v>
      </c>
      <c r="H34" s="30">
        <f t="shared" si="5"/>
        <v>0</v>
      </c>
      <c r="I34" s="30">
        <v>0</v>
      </c>
      <c r="J34" s="30">
        <v>0</v>
      </c>
      <c r="K34" s="30">
        <f t="shared" si="15"/>
        <v>0</v>
      </c>
    </row>
    <row r="35" spans="1:12" s="8" customFormat="1" ht="76.5" outlineLevel="3" x14ac:dyDescent="0.2">
      <c r="A35" s="28" t="s">
        <v>29</v>
      </c>
      <c r="B35" s="29" t="s">
        <v>30</v>
      </c>
      <c r="C35" s="30">
        <f>18368800+1231600</f>
        <v>19600400</v>
      </c>
      <c r="D35" s="30">
        <f>18368800+1231600</f>
        <v>19600400</v>
      </c>
      <c r="E35" s="31">
        <f t="shared" si="14"/>
        <v>0</v>
      </c>
      <c r="F35" s="30">
        <v>18524400</v>
      </c>
      <c r="G35" s="30">
        <v>18524400</v>
      </c>
      <c r="H35" s="30">
        <f t="shared" si="5"/>
        <v>0</v>
      </c>
      <c r="I35" s="30">
        <v>17752600</v>
      </c>
      <c r="J35" s="30">
        <v>17752600</v>
      </c>
      <c r="K35" s="30">
        <f t="shared" si="15"/>
        <v>0</v>
      </c>
    </row>
    <row r="36" spans="1:12" s="8" customFormat="1" ht="76.5" outlineLevel="3" x14ac:dyDescent="0.2">
      <c r="A36" s="28" t="s">
        <v>31</v>
      </c>
      <c r="B36" s="29" t="s">
        <v>32</v>
      </c>
      <c r="C36" s="30">
        <v>1000</v>
      </c>
      <c r="D36" s="30">
        <v>1000</v>
      </c>
      <c r="E36" s="31">
        <f t="shared" si="14"/>
        <v>0</v>
      </c>
      <c r="F36" s="30">
        <v>0</v>
      </c>
      <c r="G36" s="30">
        <v>0</v>
      </c>
      <c r="H36" s="30">
        <f t="shared" si="5"/>
        <v>0</v>
      </c>
      <c r="I36" s="30">
        <v>0</v>
      </c>
      <c r="J36" s="30">
        <v>0</v>
      </c>
      <c r="K36" s="30">
        <f t="shared" si="15"/>
        <v>0</v>
      </c>
    </row>
    <row r="37" spans="1:12" s="8" customFormat="1" ht="28.5" outlineLevel="2" x14ac:dyDescent="0.2">
      <c r="A37" s="19" t="s">
        <v>33</v>
      </c>
      <c r="B37" s="25" t="s">
        <v>34</v>
      </c>
      <c r="C37" s="26">
        <f>C38</f>
        <v>878000</v>
      </c>
      <c r="D37" s="26">
        <f>D38</f>
        <v>878000</v>
      </c>
      <c r="E37" s="27">
        <f t="shared" ref="E37:K37" si="26">E38</f>
        <v>0</v>
      </c>
      <c r="F37" s="26">
        <f t="shared" si="26"/>
        <v>927000</v>
      </c>
      <c r="G37" s="26">
        <f t="shared" si="26"/>
        <v>927000</v>
      </c>
      <c r="H37" s="26">
        <f t="shared" si="5"/>
        <v>0</v>
      </c>
      <c r="I37" s="26">
        <f t="shared" si="26"/>
        <v>927000</v>
      </c>
      <c r="J37" s="26">
        <f t="shared" si="26"/>
        <v>927000</v>
      </c>
      <c r="K37" s="26">
        <f t="shared" si="26"/>
        <v>0</v>
      </c>
    </row>
    <row r="38" spans="1:12" s="8" customFormat="1" ht="38.25" outlineLevel="3" x14ac:dyDescent="0.2">
      <c r="A38" s="28" t="s">
        <v>35</v>
      </c>
      <c r="B38" s="36" t="s">
        <v>36</v>
      </c>
      <c r="C38" s="30">
        <v>878000</v>
      </c>
      <c r="D38" s="30">
        <v>878000</v>
      </c>
      <c r="E38" s="31">
        <f t="shared" si="14"/>
        <v>0</v>
      </c>
      <c r="F38" s="30">
        <v>927000</v>
      </c>
      <c r="G38" s="30">
        <v>927000</v>
      </c>
      <c r="H38" s="30">
        <f t="shared" si="5"/>
        <v>0</v>
      </c>
      <c r="I38" s="30">
        <v>927000</v>
      </c>
      <c r="J38" s="30">
        <v>927000</v>
      </c>
      <c r="K38" s="30">
        <f t="shared" si="15"/>
        <v>0</v>
      </c>
    </row>
    <row r="39" spans="1:12" s="8" customFormat="1" ht="28.5" outlineLevel="2" x14ac:dyDescent="0.2">
      <c r="A39" s="19" t="s">
        <v>37</v>
      </c>
      <c r="B39" s="25" t="s">
        <v>38</v>
      </c>
      <c r="C39" s="26">
        <f>C40</f>
        <v>11189000</v>
      </c>
      <c r="D39" s="26">
        <f>D40</f>
        <v>11189000</v>
      </c>
      <c r="E39" s="27">
        <f t="shared" ref="E39:K39" si="27">E40</f>
        <v>0</v>
      </c>
      <c r="F39" s="26">
        <f t="shared" si="27"/>
        <v>9313000</v>
      </c>
      <c r="G39" s="26">
        <f t="shared" si="27"/>
        <v>9313000</v>
      </c>
      <c r="H39" s="26">
        <f t="shared" si="5"/>
        <v>0</v>
      </c>
      <c r="I39" s="26">
        <f t="shared" si="27"/>
        <v>7353000</v>
      </c>
      <c r="J39" s="26">
        <f t="shared" si="27"/>
        <v>7353000</v>
      </c>
      <c r="K39" s="26">
        <f t="shared" si="27"/>
        <v>0</v>
      </c>
    </row>
    <row r="40" spans="1:12" s="8" customFormat="1" ht="51" outlineLevel="3" x14ac:dyDescent="0.2">
      <c r="A40" s="28" t="s">
        <v>39</v>
      </c>
      <c r="B40" s="36" t="s">
        <v>40</v>
      </c>
      <c r="C40" s="30">
        <v>11189000</v>
      </c>
      <c r="D40" s="30">
        <v>11189000</v>
      </c>
      <c r="E40" s="31">
        <f t="shared" si="14"/>
        <v>0</v>
      </c>
      <c r="F40" s="30">
        <v>9313000</v>
      </c>
      <c r="G40" s="30">
        <v>9313000</v>
      </c>
      <c r="H40" s="30">
        <f t="shared" si="5"/>
        <v>0</v>
      </c>
      <c r="I40" s="30">
        <v>7353000</v>
      </c>
      <c r="J40" s="30">
        <v>7353000</v>
      </c>
      <c r="K40" s="30">
        <f t="shared" si="15"/>
        <v>0</v>
      </c>
    </row>
    <row r="41" spans="1:12" s="8" customFormat="1" ht="28.5" outlineLevel="1" x14ac:dyDescent="0.2">
      <c r="A41" s="19" t="s">
        <v>41</v>
      </c>
      <c r="B41" s="25" t="s">
        <v>42</v>
      </c>
      <c r="C41" s="26">
        <f>C42+C44</f>
        <v>76628000</v>
      </c>
      <c r="D41" s="26">
        <f>D42+D44</f>
        <v>76628000</v>
      </c>
      <c r="E41" s="27">
        <f t="shared" ref="E41:K41" si="28">E42+E44</f>
        <v>0</v>
      </c>
      <c r="F41" s="26">
        <f t="shared" ref="F41" si="29">F42+F44</f>
        <v>79711000</v>
      </c>
      <c r="G41" s="26">
        <f t="shared" si="28"/>
        <v>79711000</v>
      </c>
      <c r="H41" s="26">
        <f t="shared" si="5"/>
        <v>0</v>
      </c>
      <c r="I41" s="26">
        <f t="shared" ref="I41" si="30">I42+I44</f>
        <v>82974000</v>
      </c>
      <c r="J41" s="26">
        <f t="shared" si="28"/>
        <v>82974000</v>
      </c>
      <c r="K41" s="26">
        <f t="shared" si="28"/>
        <v>0</v>
      </c>
    </row>
    <row r="42" spans="1:12" s="8" customFormat="1" ht="28.5" outlineLevel="2" x14ac:dyDescent="0.2">
      <c r="A42" s="19" t="s">
        <v>43</v>
      </c>
      <c r="B42" s="25" t="s">
        <v>44</v>
      </c>
      <c r="C42" s="26">
        <f>C43</f>
        <v>45442000</v>
      </c>
      <c r="D42" s="26">
        <f>D43</f>
        <v>45442000</v>
      </c>
      <c r="E42" s="27">
        <f t="shared" ref="E42:K42" si="31">E43</f>
        <v>0</v>
      </c>
      <c r="F42" s="26">
        <f t="shared" si="31"/>
        <v>48229000</v>
      </c>
      <c r="G42" s="26">
        <f t="shared" si="31"/>
        <v>48229000</v>
      </c>
      <c r="H42" s="26">
        <f t="shared" si="5"/>
        <v>0</v>
      </c>
      <c r="I42" s="26">
        <f t="shared" si="31"/>
        <v>51188000</v>
      </c>
      <c r="J42" s="26">
        <f t="shared" si="31"/>
        <v>51188000</v>
      </c>
      <c r="K42" s="26">
        <f t="shared" si="31"/>
        <v>0</v>
      </c>
    </row>
    <row r="43" spans="1:12" s="8" customFormat="1" ht="63.75" outlineLevel="3" x14ac:dyDescent="0.2">
      <c r="A43" s="28" t="s">
        <v>45</v>
      </c>
      <c r="B43" s="36" t="s">
        <v>46</v>
      </c>
      <c r="C43" s="30">
        <v>45442000</v>
      </c>
      <c r="D43" s="30">
        <v>45442000</v>
      </c>
      <c r="E43" s="31">
        <f t="shared" si="14"/>
        <v>0</v>
      </c>
      <c r="F43" s="30">
        <v>48229000</v>
      </c>
      <c r="G43" s="30">
        <v>48229000</v>
      </c>
      <c r="H43" s="30">
        <f t="shared" si="5"/>
        <v>0</v>
      </c>
      <c r="I43" s="30">
        <v>51188000</v>
      </c>
      <c r="J43" s="30">
        <v>51188000</v>
      </c>
      <c r="K43" s="30">
        <f t="shared" si="15"/>
        <v>0</v>
      </c>
    </row>
    <row r="44" spans="1:12" s="8" customFormat="1" ht="28.5" outlineLevel="2" x14ac:dyDescent="0.2">
      <c r="A44" s="19" t="s">
        <v>47</v>
      </c>
      <c r="B44" s="25" t="s">
        <v>48</v>
      </c>
      <c r="C44" s="26">
        <f>SUM(C45:C46)</f>
        <v>31186000</v>
      </c>
      <c r="D44" s="26">
        <f>SUM(D45:D46)</f>
        <v>31186000</v>
      </c>
      <c r="E44" s="27">
        <f t="shared" ref="E44:K44" si="32">SUM(E45:E46)</f>
        <v>0</v>
      </c>
      <c r="F44" s="26">
        <f t="shared" ref="F44" si="33">SUM(F45:F46)</f>
        <v>31482000</v>
      </c>
      <c r="G44" s="26">
        <f t="shared" si="32"/>
        <v>31482000</v>
      </c>
      <c r="H44" s="26">
        <f t="shared" si="5"/>
        <v>0</v>
      </c>
      <c r="I44" s="26">
        <f t="shared" ref="I44" si="34">SUM(I45:I46)</f>
        <v>31786000</v>
      </c>
      <c r="J44" s="26">
        <f t="shared" si="32"/>
        <v>31786000</v>
      </c>
      <c r="K44" s="26">
        <f t="shared" si="32"/>
        <v>0</v>
      </c>
    </row>
    <row r="45" spans="1:12" s="8" customFormat="1" ht="51" outlineLevel="3" x14ac:dyDescent="0.2">
      <c r="A45" s="28" t="s">
        <v>49</v>
      </c>
      <c r="B45" s="36" t="s">
        <v>50</v>
      </c>
      <c r="C45" s="30">
        <v>17556000</v>
      </c>
      <c r="D45" s="30">
        <v>17556000</v>
      </c>
      <c r="E45" s="31">
        <f t="shared" si="14"/>
        <v>0</v>
      </c>
      <c r="F45" s="30">
        <v>16257000</v>
      </c>
      <c r="G45" s="30">
        <v>16257000</v>
      </c>
      <c r="H45" s="30">
        <f t="shared" si="5"/>
        <v>0</v>
      </c>
      <c r="I45" s="30">
        <v>15054000</v>
      </c>
      <c r="J45" s="30">
        <v>15054000</v>
      </c>
      <c r="K45" s="30">
        <f t="shared" si="15"/>
        <v>0</v>
      </c>
    </row>
    <row r="46" spans="1:12" s="8" customFormat="1" ht="51" outlineLevel="3" x14ac:dyDescent="0.2">
      <c r="A46" s="28" t="s">
        <v>51</v>
      </c>
      <c r="B46" s="36" t="s">
        <v>52</v>
      </c>
      <c r="C46" s="30">
        <v>13630000</v>
      </c>
      <c r="D46" s="30">
        <v>13630000</v>
      </c>
      <c r="E46" s="31">
        <f t="shared" si="14"/>
        <v>0</v>
      </c>
      <c r="F46" s="30">
        <v>15225000</v>
      </c>
      <c r="G46" s="30">
        <v>15225000</v>
      </c>
      <c r="H46" s="30">
        <f t="shared" si="5"/>
        <v>0</v>
      </c>
      <c r="I46" s="30">
        <v>16732000</v>
      </c>
      <c r="J46" s="30">
        <v>16732000</v>
      </c>
      <c r="K46" s="30">
        <f t="shared" si="15"/>
        <v>0</v>
      </c>
    </row>
    <row r="47" spans="1:12" s="8" customFormat="1" ht="28.5" outlineLevel="1" x14ac:dyDescent="0.2">
      <c r="A47" s="19" t="s">
        <v>53</v>
      </c>
      <c r="B47" s="25" t="s">
        <v>54</v>
      </c>
      <c r="C47" s="26">
        <f>SUM(C48:C50)</f>
        <v>23457000.02</v>
      </c>
      <c r="D47" s="26">
        <f>SUM(D48:D50)</f>
        <v>23457000.02</v>
      </c>
      <c r="E47" s="27">
        <f t="shared" ref="E47:K47" si="35">SUM(E48:E50)</f>
        <v>0</v>
      </c>
      <c r="F47" s="26">
        <f t="shared" ref="F47" si="36">SUM(F48:F50)</f>
        <v>11952000</v>
      </c>
      <c r="G47" s="26">
        <f t="shared" si="35"/>
        <v>11952000</v>
      </c>
      <c r="H47" s="26">
        <f t="shared" si="5"/>
        <v>0</v>
      </c>
      <c r="I47" s="26">
        <f t="shared" ref="I47" si="37">SUM(I48:I50)</f>
        <v>11952000</v>
      </c>
      <c r="J47" s="26">
        <f t="shared" si="35"/>
        <v>11952000</v>
      </c>
      <c r="K47" s="26">
        <f t="shared" si="35"/>
        <v>0</v>
      </c>
      <c r="L47" s="37">
        <f t="shared" ref="L47" si="38">SUM(L8:L46)</f>
        <v>0</v>
      </c>
    </row>
    <row r="48" spans="1:12" s="8" customFormat="1" ht="51" outlineLevel="3" x14ac:dyDescent="0.2">
      <c r="A48" s="28" t="s">
        <v>55</v>
      </c>
      <c r="B48" s="36" t="s">
        <v>56</v>
      </c>
      <c r="C48" s="30">
        <f>11521000+11926000.02-5800000</f>
        <v>17647000.02</v>
      </c>
      <c r="D48" s="30">
        <f>11521000+11926000.02-5800000</f>
        <v>17647000.02</v>
      </c>
      <c r="E48" s="31">
        <f t="shared" si="14"/>
        <v>0</v>
      </c>
      <c r="F48" s="30">
        <v>11942000</v>
      </c>
      <c r="G48" s="30">
        <v>11942000</v>
      </c>
      <c r="H48" s="30">
        <f t="shared" si="5"/>
        <v>0</v>
      </c>
      <c r="I48" s="30">
        <v>11942000</v>
      </c>
      <c r="J48" s="30">
        <v>11942000</v>
      </c>
      <c r="K48" s="30">
        <f t="shared" si="15"/>
        <v>0</v>
      </c>
    </row>
    <row r="49" spans="1:11" s="8" customFormat="1" ht="65.25" customHeight="1" outlineLevel="3" x14ac:dyDescent="0.2">
      <c r="A49" s="34" t="s">
        <v>293</v>
      </c>
      <c r="B49" s="33" t="s">
        <v>292</v>
      </c>
      <c r="C49" s="30">
        <v>5800000</v>
      </c>
      <c r="D49" s="30">
        <v>5800000</v>
      </c>
      <c r="E49" s="31">
        <f t="shared" si="14"/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</row>
    <row r="50" spans="1:11" s="8" customFormat="1" ht="25.5" outlineLevel="3" x14ac:dyDescent="0.2">
      <c r="A50" s="28" t="s">
        <v>57</v>
      </c>
      <c r="B50" s="36" t="s">
        <v>58</v>
      </c>
      <c r="C50" s="30">
        <v>10000</v>
      </c>
      <c r="D50" s="30">
        <v>10000</v>
      </c>
      <c r="E50" s="31">
        <f t="shared" si="14"/>
        <v>0</v>
      </c>
      <c r="F50" s="30">
        <v>10000</v>
      </c>
      <c r="G50" s="30">
        <v>10000</v>
      </c>
      <c r="H50" s="30">
        <f t="shared" si="5"/>
        <v>0</v>
      </c>
      <c r="I50" s="30">
        <v>10000</v>
      </c>
      <c r="J50" s="30">
        <v>10000</v>
      </c>
      <c r="K50" s="30">
        <f t="shared" si="15"/>
        <v>0</v>
      </c>
    </row>
    <row r="51" spans="1:11" s="8" customFormat="1" ht="38.25" outlineLevel="1" x14ac:dyDescent="0.2">
      <c r="A51" s="19" t="s">
        <v>59</v>
      </c>
      <c r="B51" s="25" t="s">
        <v>60</v>
      </c>
      <c r="C51" s="26">
        <f>C52+C57</f>
        <v>59412576.359999999</v>
      </c>
      <c r="D51" s="26">
        <f>D52+D57</f>
        <v>59412576.359999999</v>
      </c>
      <c r="E51" s="27">
        <f t="shared" ref="E51:K51" si="39">E52+E57</f>
        <v>0</v>
      </c>
      <c r="F51" s="26">
        <f t="shared" ref="F51" si="40">F52+F57</f>
        <v>59010000</v>
      </c>
      <c r="G51" s="26">
        <f t="shared" si="39"/>
        <v>59010000</v>
      </c>
      <c r="H51" s="26">
        <f t="shared" si="5"/>
        <v>0</v>
      </c>
      <c r="I51" s="26">
        <f t="shared" ref="I51" si="41">I52+I57</f>
        <v>59010000</v>
      </c>
      <c r="J51" s="26">
        <f t="shared" si="39"/>
        <v>59010000</v>
      </c>
      <c r="K51" s="26">
        <f t="shared" si="39"/>
        <v>0</v>
      </c>
    </row>
    <row r="52" spans="1:11" s="8" customFormat="1" ht="76.5" outlineLevel="2" x14ac:dyDescent="0.2">
      <c r="A52" s="19" t="s">
        <v>61</v>
      </c>
      <c r="B52" s="38" t="s">
        <v>62</v>
      </c>
      <c r="C52" s="26">
        <f>SUM(C53:C56)</f>
        <v>58510000</v>
      </c>
      <c r="D52" s="26">
        <f>SUM(D53:D56)</f>
        <v>58510000</v>
      </c>
      <c r="E52" s="27">
        <f t="shared" ref="E52:K52" si="42">SUM(E53:E56)</f>
        <v>0</v>
      </c>
      <c r="F52" s="26">
        <f t="shared" ref="F52" si="43">SUM(F53:F56)</f>
        <v>58510000</v>
      </c>
      <c r="G52" s="26">
        <f t="shared" si="42"/>
        <v>58510000</v>
      </c>
      <c r="H52" s="26">
        <f t="shared" si="5"/>
        <v>0</v>
      </c>
      <c r="I52" s="26">
        <f t="shared" ref="I52" si="44">SUM(I53:I56)</f>
        <v>58510000</v>
      </c>
      <c r="J52" s="26">
        <f t="shared" si="42"/>
        <v>58510000</v>
      </c>
      <c r="K52" s="26">
        <f t="shared" si="42"/>
        <v>0</v>
      </c>
    </row>
    <row r="53" spans="1:11" s="8" customFormat="1" ht="63.75" outlineLevel="3" x14ac:dyDescent="0.2">
      <c r="A53" s="28" t="s">
        <v>63</v>
      </c>
      <c r="B53" s="29" t="s">
        <v>64</v>
      </c>
      <c r="C53" s="30">
        <v>40000000</v>
      </c>
      <c r="D53" s="30">
        <v>40000000</v>
      </c>
      <c r="E53" s="31">
        <f t="shared" si="14"/>
        <v>0</v>
      </c>
      <c r="F53" s="30">
        <v>40000000</v>
      </c>
      <c r="G53" s="30">
        <v>40000000</v>
      </c>
      <c r="H53" s="30">
        <f t="shared" si="5"/>
        <v>0</v>
      </c>
      <c r="I53" s="30">
        <v>40000000</v>
      </c>
      <c r="J53" s="30">
        <v>40000000</v>
      </c>
      <c r="K53" s="30">
        <f t="shared" si="15"/>
        <v>0</v>
      </c>
    </row>
    <row r="54" spans="1:11" s="8" customFormat="1" ht="76.5" outlineLevel="3" x14ac:dyDescent="0.2">
      <c r="A54" s="28" t="s">
        <v>65</v>
      </c>
      <c r="B54" s="29" t="s">
        <v>66</v>
      </c>
      <c r="C54" s="30">
        <v>500000</v>
      </c>
      <c r="D54" s="30">
        <v>500000</v>
      </c>
      <c r="E54" s="31">
        <f t="shared" si="14"/>
        <v>0</v>
      </c>
      <c r="F54" s="30">
        <v>500000</v>
      </c>
      <c r="G54" s="30">
        <v>500000</v>
      </c>
      <c r="H54" s="30">
        <f t="shared" si="5"/>
        <v>0</v>
      </c>
      <c r="I54" s="30">
        <v>500000</v>
      </c>
      <c r="J54" s="30">
        <v>500000</v>
      </c>
      <c r="K54" s="30">
        <f t="shared" si="15"/>
        <v>0</v>
      </c>
    </row>
    <row r="55" spans="1:11" s="8" customFormat="1" ht="89.25" outlineLevel="3" x14ac:dyDescent="0.2">
      <c r="A55" s="28" t="s">
        <v>67</v>
      </c>
      <c r="B55" s="29" t="s">
        <v>68</v>
      </c>
      <c r="C55" s="30">
        <v>10000</v>
      </c>
      <c r="D55" s="30">
        <v>10000</v>
      </c>
      <c r="E55" s="31">
        <f t="shared" si="14"/>
        <v>0</v>
      </c>
      <c r="F55" s="30">
        <v>10000</v>
      </c>
      <c r="G55" s="30">
        <v>10000</v>
      </c>
      <c r="H55" s="30">
        <f t="shared" si="5"/>
        <v>0</v>
      </c>
      <c r="I55" s="30">
        <v>10000</v>
      </c>
      <c r="J55" s="30">
        <v>10000</v>
      </c>
      <c r="K55" s="30">
        <f t="shared" si="15"/>
        <v>0</v>
      </c>
    </row>
    <row r="56" spans="1:11" s="8" customFormat="1" ht="51" outlineLevel="3" x14ac:dyDescent="0.2">
      <c r="A56" s="28" t="s">
        <v>69</v>
      </c>
      <c r="B56" s="36" t="s">
        <v>70</v>
      </c>
      <c r="C56" s="30">
        <v>18000000</v>
      </c>
      <c r="D56" s="30">
        <v>18000000</v>
      </c>
      <c r="E56" s="31">
        <f t="shared" si="14"/>
        <v>0</v>
      </c>
      <c r="F56" s="30">
        <v>18000000</v>
      </c>
      <c r="G56" s="30">
        <v>18000000</v>
      </c>
      <c r="H56" s="30">
        <f t="shared" si="5"/>
        <v>0</v>
      </c>
      <c r="I56" s="30">
        <v>18000000</v>
      </c>
      <c r="J56" s="30">
        <v>18000000</v>
      </c>
      <c r="K56" s="30">
        <f t="shared" si="15"/>
        <v>0</v>
      </c>
    </row>
    <row r="57" spans="1:11" s="8" customFormat="1" ht="38.25" outlineLevel="2" x14ac:dyDescent="0.2">
      <c r="A57" s="19" t="s">
        <v>71</v>
      </c>
      <c r="B57" s="25" t="s">
        <v>72</v>
      </c>
      <c r="C57" s="26">
        <f>C58+C59+C60</f>
        <v>902576.36</v>
      </c>
      <c r="D57" s="26">
        <f>D58+D59+D60</f>
        <v>902576.36</v>
      </c>
      <c r="E57" s="27">
        <f t="shared" ref="E57:K57" si="45">E58+E59+E60</f>
        <v>0</v>
      </c>
      <c r="F57" s="26">
        <f t="shared" ref="F57" si="46">F58+F59+F60</f>
        <v>500000</v>
      </c>
      <c r="G57" s="26">
        <f t="shared" si="45"/>
        <v>500000</v>
      </c>
      <c r="H57" s="26">
        <f t="shared" si="45"/>
        <v>0</v>
      </c>
      <c r="I57" s="26">
        <f t="shared" ref="I57" si="47">I58+I59+I60</f>
        <v>500000</v>
      </c>
      <c r="J57" s="26">
        <f t="shared" si="45"/>
        <v>500000</v>
      </c>
      <c r="K57" s="26">
        <f t="shared" si="45"/>
        <v>0</v>
      </c>
    </row>
    <row r="58" spans="1:11" s="8" customFormat="1" ht="89.25" outlineLevel="3" x14ac:dyDescent="0.2">
      <c r="A58" s="28" t="s">
        <v>73</v>
      </c>
      <c r="B58" s="29" t="s">
        <v>74</v>
      </c>
      <c r="C58" s="30">
        <v>500000</v>
      </c>
      <c r="D58" s="30">
        <v>500000</v>
      </c>
      <c r="E58" s="31">
        <f t="shared" si="14"/>
        <v>0</v>
      </c>
      <c r="F58" s="30">
        <v>500000</v>
      </c>
      <c r="G58" s="30">
        <v>500000</v>
      </c>
      <c r="H58" s="30">
        <f t="shared" si="5"/>
        <v>0</v>
      </c>
      <c r="I58" s="30">
        <v>500000</v>
      </c>
      <c r="J58" s="30">
        <v>500000</v>
      </c>
      <c r="K58" s="30">
        <f t="shared" si="15"/>
        <v>0</v>
      </c>
    </row>
    <row r="59" spans="1:11" s="8" customFormat="1" ht="63.75" outlineLevel="3" x14ac:dyDescent="0.2">
      <c r="A59" s="34" t="s">
        <v>286</v>
      </c>
      <c r="B59" s="39" t="s">
        <v>287</v>
      </c>
      <c r="C59" s="40">
        <v>64869.24</v>
      </c>
      <c r="D59" s="40">
        <v>64869.24</v>
      </c>
      <c r="E59" s="31">
        <f t="shared" si="14"/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</row>
    <row r="60" spans="1:11" s="8" customFormat="1" ht="76.5" outlineLevel="3" x14ac:dyDescent="0.2">
      <c r="A60" s="34" t="s">
        <v>288</v>
      </c>
      <c r="B60" s="33" t="s">
        <v>289</v>
      </c>
      <c r="C60" s="40">
        <v>337707.12</v>
      </c>
      <c r="D60" s="40">
        <v>337707.12</v>
      </c>
      <c r="E60" s="31">
        <f t="shared" si="14"/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</row>
    <row r="61" spans="1:11" s="8" customFormat="1" ht="28.5" outlineLevel="1" x14ac:dyDescent="0.2">
      <c r="A61" s="19" t="s">
        <v>75</v>
      </c>
      <c r="B61" s="25" t="s">
        <v>76</v>
      </c>
      <c r="C61" s="26">
        <f>C62</f>
        <v>19800000</v>
      </c>
      <c r="D61" s="26">
        <f>D62</f>
        <v>19800000</v>
      </c>
      <c r="E61" s="27">
        <f t="shared" ref="E61:K61" si="48">E62</f>
        <v>0</v>
      </c>
      <c r="F61" s="26">
        <f t="shared" si="48"/>
        <v>19800000</v>
      </c>
      <c r="G61" s="26">
        <f t="shared" si="48"/>
        <v>19800000</v>
      </c>
      <c r="H61" s="26">
        <f t="shared" si="5"/>
        <v>0</v>
      </c>
      <c r="I61" s="26">
        <f t="shared" si="48"/>
        <v>19800000</v>
      </c>
      <c r="J61" s="26">
        <f t="shared" si="48"/>
        <v>19800000</v>
      </c>
      <c r="K61" s="26">
        <f t="shared" si="48"/>
        <v>0</v>
      </c>
    </row>
    <row r="62" spans="1:11" s="8" customFormat="1" ht="28.5" outlineLevel="2" x14ac:dyDescent="0.2">
      <c r="A62" s="19" t="s">
        <v>77</v>
      </c>
      <c r="B62" s="25" t="s">
        <v>78</v>
      </c>
      <c r="C62" s="26">
        <f>SUM(C63:C66)</f>
        <v>19800000</v>
      </c>
      <c r="D62" s="26">
        <f>SUM(D63:D66)</f>
        <v>19800000</v>
      </c>
      <c r="E62" s="27">
        <f t="shared" ref="E62:K62" si="49">SUM(E63:E66)</f>
        <v>0</v>
      </c>
      <c r="F62" s="26">
        <f t="shared" ref="F62" si="50">SUM(F63:F66)</f>
        <v>19800000</v>
      </c>
      <c r="G62" s="26">
        <f t="shared" si="49"/>
        <v>19800000</v>
      </c>
      <c r="H62" s="26">
        <f t="shared" si="5"/>
        <v>0</v>
      </c>
      <c r="I62" s="26">
        <f t="shared" ref="I62" si="51">SUM(I63:I66)</f>
        <v>19800000</v>
      </c>
      <c r="J62" s="26">
        <f t="shared" si="49"/>
        <v>19800000</v>
      </c>
      <c r="K62" s="26">
        <f t="shared" si="49"/>
        <v>0</v>
      </c>
    </row>
    <row r="63" spans="1:11" s="8" customFormat="1" ht="51" outlineLevel="3" x14ac:dyDescent="0.2">
      <c r="A63" s="28" t="s">
        <v>79</v>
      </c>
      <c r="B63" s="36" t="s">
        <v>80</v>
      </c>
      <c r="C63" s="30">
        <v>350000</v>
      </c>
      <c r="D63" s="30">
        <v>350000</v>
      </c>
      <c r="E63" s="31">
        <f t="shared" si="14"/>
        <v>0</v>
      </c>
      <c r="F63" s="30">
        <v>350000</v>
      </c>
      <c r="G63" s="30">
        <v>350000</v>
      </c>
      <c r="H63" s="30">
        <f t="shared" si="5"/>
        <v>0</v>
      </c>
      <c r="I63" s="30">
        <v>350000</v>
      </c>
      <c r="J63" s="30">
        <v>350000</v>
      </c>
      <c r="K63" s="30">
        <f t="shared" si="15"/>
        <v>0</v>
      </c>
    </row>
    <row r="64" spans="1:11" s="8" customFormat="1" ht="51" outlineLevel="3" x14ac:dyDescent="0.2">
      <c r="A64" s="28" t="s">
        <v>81</v>
      </c>
      <c r="B64" s="36" t="s">
        <v>82</v>
      </c>
      <c r="C64" s="30">
        <v>650000</v>
      </c>
      <c r="D64" s="30">
        <v>650000</v>
      </c>
      <c r="E64" s="31">
        <f t="shared" si="14"/>
        <v>0</v>
      </c>
      <c r="F64" s="30">
        <v>650000</v>
      </c>
      <c r="G64" s="30">
        <v>650000</v>
      </c>
      <c r="H64" s="30">
        <f t="shared" si="5"/>
        <v>0</v>
      </c>
      <c r="I64" s="30">
        <v>650000</v>
      </c>
      <c r="J64" s="30">
        <v>650000</v>
      </c>
      <c r="K64" s="30">
        <f t="shared" si="15"/>
        <v>0</v>
      </c>
    </row>
    <row r="65" spans="1:11" s="8" customFormat="1" ht="51" outlineLevel="3" x14ac:dyDescent="0.2">
      <c r="A65" s="28" t="s">
        <v>83</v>
      </c>
      <c r="B65" s="36" t="s">
        <v>84</v>
      </c>
      <c r="C65" s="30">
        <v>10800000</v>
      </c>
      <c r="D65" s="30">
        <v>10800000</v>
      </c>
      <c r="E65" s="31">
        <f t="shared" si="14"/>
        <v>0</v>
      </c>
      <c r="F65" s="30">
        <v>10800000</v>
      </c>
      <c r="G65" s="30">
        <v>10800000</v>
      </c>
      <c r="H65" s="30">
        <f t="shared" si="5"/>
        <v>0</v>
      </c>
      <c r="I65" s="30">
        <v>10800000</v>
      </c>
      <c r="J65" s="30">
        <v>10800000</v>
      </c>
      <c r="K65" s="30">
        <f t="shared" si="15"/>
        <v>0</v>
      </c>
    </row>
    <row r="66" spans="1:11" s="8" customFormat="1" ht="51" outlineLevel="3" x14ac:dyDescent="0.2">
      <c r="A66" s="28" t="s">
        <v>85</v>
      </c>
      <c r="B66" s="36" t="s">
        <v>86</v>
      </c>
      <c r="C66" s="30">
        <v>8000000</v>
      </c>
      <c r="D66" s="30">
        <v>8000000</v>
      </c>
      <c r="E66" s="31">
        <f t="shared" si="14"/>
        <v>0</v>
      </c>
      <c r="F66" s="30">
        <v>8000000</v>
      </c>
      <c r="G66" s="30">
        <v>8000000</v>
      </c>
      <c r="H66" s="30">
        <f t="shared" si="5"/>
        <v>0</v>
      </c>
      <c r="I66" s="30">
        <v>8000000</v>
      </c>
      <c r="J66" s="30">
        <v>8000000</v>
      </c>
      <c r="K66" s="30">
        <f t="shared" si="15"/>
        <v>0</v>
      </c>
    </row>
    <row r="67" spans="1:11" s="8" customFormat="1" ht="28.5" outlineLevel="1" x14ac:dyDescent="0.2">
      <c r="A67" s="19" t="s">
        <v>87</v>
      </c>
      <c r="B67" s="25" t="s">
        <v>88</v>
      </c>
      <c r="C67" s="26">
        <f>C68</f>
        <v>29659658.449999999</v>
      </c>
      <c r="D67" s="26">
        <f>D68</f>
        <v>29795721.189999998</v>
      </c>
      <c r="E67" s="27">
        <f t="shared" ref="E67:K68" si="52">E68</f>
        <v>136062.73999999836</v>
      </c>
      <c r="F67" s="26">
        <f t="shared" si="52"/>
        <v>0</v>
      </c>
      <c r="G67" s="26">
        <f t="shared" si="52"/>
        <v>0</v>
      </c>
      <c r="H67" s="26">
        <f t="shared" si="5"/>
        <v>0</v>
      </c>
      <c r="I67" s="26">
        <f t="shared" si="52"/>
        <v>0</v>
      </c>
      <c r="J67" s="26">
        <f t="shared" si="52"/>
        <v>0</v>
      </c>
      <c r="K67" s="26">
        <f t="shared" si="52"/>
        <v>0</v>
      </c>
    </row>
    <row r="68" spans="1:11" s="8" customFormat="1" ht="28.5" outlineLevel="2" x14ac:dyDescent="0.2">
      <c r="A68" s="19" t="s">
        <v>89</v>
      </c>
      <c r="B68" s="25" t="s">
        <v>90</v>
      </c>
      <c r="C68" s="26">
        <f>C69</f>
        <v>29659658.449999999</v>
      </c>
      <c r="D68" s="26">
        <f>D69</f>
        <v>29795721.189999998</v>
      </c>
      <c r="E68" s="27">
        <f t="shared" si="52"/>
        <v>136062.73999999836</v>
      </c>
      <c r="F68" s="26">
        <f t="shared" si="52"/>
        <v>0</v>
      </c>
      <c r="G68" s="26">
        <f t="shared" si="52"/>
        <v>0</v>
      </c>
      <c r="H68" s="26">
        <f t="shared" si="5"/>
        <v>0</v>
      </c>
      <c r="I68" s="26">
        <f t="shared" si="52"/>
        <v>0</v>
      </c>
      <c r="J68" s="26">
        <f t="shared" si="52"/>
        <v>0</v>
      </c>
      <c r="K68" s="26">
        <f t="shared" si="52"/>
        <v>0</v>
      </c>
    </row>
    <row r="69" spans="1:11" s="8" customFormat="1" ht="39.75" customHeight="1" outlineLevel="3" x14ac:dyDescent="0.2">
      <c r="A69" s="28" t="s">
        <v>91</v>
      </c>
      <c r="B69" s="36" t="s">
        <v>92</v>
      </c>
      <c r="C69" s="30">
        <f>22695571.66+5616412.54+564572.45+131030.2+12071.6+640000</f>
        <v>29659658.449999999</v>
      </c>
      <c r="D69" s="30">
        <f>22695571.66+5616412.54+564572.45+131030.2+12071.6+640000+136062.74</f>
        <v>29795721.189999998</v>
      </c>
      <c r="E69" s="31">
        <f t="shared" si="14"/>
        <v>136062.73999999836</v>
      </c>
      <c r="F69" s="30">
        <v>0</v>
      </c>
      <c r="G69" s="30">
        <v>0</v>
      </c>
      <c r="H69" s="30">
        <f t="shared" si="5"/>
        <v>0</v>
      </c>
      <c r="I69" s="30">
        <v>0</v>
      </c>
      <c r="J69" s="30">
        <v>0</v>
      </c>
      <c r="K69" s="30">
        <f t="shared" si="15"/>
        <v>0</v>
      </c>
    </row>
    <row r="70" spans="1:11" s="8" customFormat="1" ht="28.5" outlineLevel="1" x14ac:dyDescent="0.2">
      <c r="A70" s="19" t="s">
        <v>93</v>
      </c>
      <c r="B70" s="25" t="s">
        <v>94</v>
      </c>
      <c r="C70" s="26">
        <f>C71+C74</f>
        <v>16234000</v>
      </c>
      <c r="D70" s="26">
        <f>D71+D74</f>
        <v>16234000</v>
      </c>
      <c r="E70" s="27">
        <f t="shared" ref="E70:K70" si="53">E71+E74</f>
        <v>0</v>
      </c>
      <c r="F70" s="26">
        <f t="shared" ref="F70" si="54">F71+F74</f>
        <v>13115000</v>
      </c>
      <c r="G70" s="26">
        <f t="shared" si="53"/>
        <v>13115000</v>
      </c>
      <c r="H70" s="26">
        <f t="shared" si="5"/>
        <v>0</v>
      </c>
      <c r="I70" s="26">
        <f t="shared" ref="I70" si="55">I71+I74</f>
        <v>13115000</v>
      </c>
      <c r="J70" s="26">
        <f t="shared" si="53"/>
        <v>13115000</v>
      </c>
      <c r="K70" s="26">
        <f t="shared" si="53"/>
        <v>0</v>
      </c>
    </row>
    <row r="71" spans="1:11" s="8" customFormat="1" ht="63.75" outlineLevel="2" x14ac:dyDescent="0.2">
      <c r="A71" s="19" t="s">
        <v>95</v>
      </c>
      <c r="B71" s="38" t="s">
        <v>96</v>
      </c>
      <c r="C71" s="26">
        <f>SUM(C72:C73)</f>
        <v>10115000</v>
      </c>
      <c r="D71" s="26">
        <f>SUM(D72:D73)</f>
        <v>10115000</v>
      </c>
      <c r="E71" s="27">
        <f t="shared" ref="E71:K71" si="56">SUM(E72:E73)</f>
        <v>0</v>
      </c>
      <c r="F71" s="26">
        <f t="shared" ref="F71" si="57">SUM(F72:F73)</f>
        <v>10115000</v>
      </c>
      <c r="G71" s="26">
        <f t="shared" si="56"/>
        <v>10115000</v>
      </c>
      <c r="H71" s="26">
        <f t="shared" si="5"/>
        <v>0</v>
      </c>
      <c r="I71" s="26">
        <f t="shared" ref="I71" si="58">SUM(I72:I73)</f>
        <v>10115000</v>
      </c>
      <c r="J71" s="26">
        <f t="shared" si="56"/>
        <v>10115000</v>
      </c>
      <c r="K71" s="26">
        <f t="shared" si="56"/>
        <v>0</v>
      </c>
    </row>
    <row r="72" spans="1:11" s="8" customFormat="1" ht="76.5" outlineLevel="3" x14ac:dyDescent="0.2">
      <c r="A72" s="28" t="s">
        <v>97</v>
      </c>
      <c r="B72" s="29" t="s">
        <v>98</v>
      </c>
      <c r="C72" s="30">
        <v>10000000</v>
      </c>
      <c r="D72" s="30">
        <v>10000000</v>
      </c>
      <c r="E72" s="31">
        <f t="shared" si="14"/>
        <v>0</v>
      </c>
      <c r="F72" s="30">
        <v>10000000</v>
      </c>
      <c r="G72" s="30">
        <v>10000000</v>
      </c>
      <c r="H72" s="30">
        <f t="shared" si="5"/>
        <v>0</v>
      </c>
      <c r="I72" s="30">
        <v>10000000</v>
      </c>
      <c r="J72" s="30">
        <v>10000000</v>
      </c>
      <c r="K72" s="30">
        <f t="shared" si="15"/>
        <v>0</v>
      </c>
    </row>
    <row r="73" spans="1:11" s="8" customFormat="1" ht="63.75" outlineLevel="3" x14ac:dyDescent="0.2">
      <c r="A73" s="28" t="s">
        <v>99</v>
      </c>
      <c r="B73" s="29" t="s">
        <v>100</v>
      </c>
      <c r="C73" s="30">
        <v>115000</v>
      </c>
      <c r="D73" s="30">
        <v>115000</v>
      </c>
      <c r="E73" s="31">
        <f t="shared" si="14"/>
        <v>0</v>
      </c>
      <c r="F73" s="30">
        <v>115000</v>
      </c>
      <c r="G73" s="30">
        <v>115000</v>
      </c>
      <c r="H73" s="30">
        <f t="shared" si="5"/>
        <v>0</v>
      </c>
      <c r="I73" s="30">
        <v>115000</v>
      </c>
      <c r="J73" s="30">
        <v>115000</v>
      </c>
      <c r="K73" s="30">
        <f t="shared" si="15"/>
        <v>0</v>
      </c>
    </row>
    <row r="74" spans="1:11" s="8" customFormat="1" ht="28.5" outlineLevel="2" x14ac:dyDescent="0.2">
      <c r="A74" s="19" t="s">
        <v>101</v>
      </c>
      <c r="B74" s="25" t="s">
        <v>102</v>
      </c>
      <c r="C74" s="26">
        <f>C75</f>
        <v>6119000</v>
      </c>
      <c r="D74" s="26">
        <f>D75</f>
        <v>6119000</v>
      </c>
      <c r="E74" s="27">
        <f t="shared" ref="E74:K74" si="59">E75</f>
        <v>0</v>
      </c>
      <c r="F74" s="26">
        <f t="shared" si="59"/>
        <v>3000000</v>
      </c>
      <c r="G74" s="26">
        <f t="shared" si="59"/>
        <v>3000000</v>
      </c>
      <c r="H74" s="26">
        <f t="shared" si="5"/>
        <v>0</v>
      </c>
      <c r="I74" s="26">
        <f t="shared" si="59"/>
        <v>3000000</v>
      </c>
      <c r="J74" s="26">
        <f t="shared" si="59"/>
        <v>3000000</v>
      </c>
      <c r="K74" s="26">
        <f t="shared" si="59"/>
        <v>0</v>
      </c>
    </row>
    <row r="75" spans="1:11" s="8" customFormat="1" ht="38.25" outlineLevel="3" x14ac:dyDescent="0.2">
      <c r="A75" s="28" t="s">
        <v>103</v>
      </c>
      <c r="B75" s="36" t="s">
        <v>104</v>
      </c>
      <c r="C75" s="30">
        <f>3000000+3119000</f>
        <v>6119000</v>
      </c>
      <c r="D75" s="30">
        <f>3000000+3119000</f>
        <v>6119000</v>
      </c>
      <c r="E75" s="31">
        <f t="shared" ref="E75:E163" si="60">D75-C75</f>
        <v>0</v>
      </c>
      <c r="F75" s="30">
        <v>3000000</v>
      </c>
      <c r="G75" s="30">
        <v>3000000</v>
      </c>
      <c r="H75" s="30">
        <f t="shared" si="5"/>
        <v>0</v>
      </c>
      <c r="I75" s="30">
        <v>3000000</v>
      </c>
      <c r="J75" s="30">
        <v>3000000</v>
      </c>
      <c r="K75" s="30">
        <f t="shared" ref="K75:K161" si="61">J75-I75</f>
        <v>0</v>
      </c>
    </row>
    <row r="76" spans="1:11" s="8" customFormat="1" ht="28.5" outlineLevel="1" x14ac:dyDescent="0.2">
      <c r="A76" s="19" t="s">
        <v>105</v>
      </c>
      <c r="B76" s="25" t="s">
        <v>106</v>
      </c>
      <c r="C76" s="26">
        <f>C77+C90+C93+C95+C98</f>
        <v>4956677.7</v>
      </c>
      <c r="D76" s="26">
        <f>D77+D90+D93+D95+D98</f>
        <v>128556677.69999999</v>
      </c>
      <c r="E76" s="27">
        <f t="shared" ref="E76:K76" si="62">E77+E90+E93+E95+E98</f>
        <v>123600000</v>
      </c>
      <c r="F76" s="26">
        <f t="shared" ref="F76" si="63">F77+F90+F93+F95+F98</f>
        <v>4669978.53</v>
      </c>
      <c r="G76" s="26">
        <f t="shared" si="62"/>
        <v>4669978.53</v>
      </c>
      <c r="H76" s="26">
        <f t="shared" si="5"/>
        <v>0</v>
      </c>
      <c r="I76" s="26">
        <f t="shared" ref="I76" si="64">I77+I90+I93+I95+I98</f>
        <v>4665339</v>
      </c>
      <c r="J76" s="26">
        <f t="shared" si="62"/>
        <v>4665339</v>
      </c>
      <c r="K76" s="26">
        <f t="shared" si="62"/>
        <v>0</v>
      </c>
    </row>
    <row r="77" spans="1:11" s="8" customFormat="1" ht="36" customHeight="1" outlineLevel="2" x14ac:dyDescent="0.2">
      <c r="A77" s="19" t="s">
        <v>107</v>
      </c>
      <c r="B77" s="25" t="s">
        <v>108</v>
      </c>
      <c r="C77" s="26">
        <f>SUM(C78:C89)</f>
        <v>2972351.21</v>
      </c>
      <c r="D77" s="26">
        <f>SUM(D78:D89)</f>
        <v>2972351.21</v>
      </c>
      <c r="E77" s="27">
        <f t="shared" ref="E77:K77" si="65">SUM(E78:E89)</f>
        <v>0</v>
      </c>
      <c r="F77" s="26">
        <f t="shared" ref="F77" si="66">SUM(F78:F89)</f>
        <v>2949978.5300000003</v>
      </c>
      <c r="G77" s="26">
        <f t="shared" si="65"/>
        <v>2949978.5300000003</v>
      </c>
      <c r="H77" s="26">
        <f t="shared" ref="H77:H146" si="67">G77-F77</f>
        <v>0</v>
      </c>
      <c r="I77" s="26">
        <f t="shared" ref="I77" si="68">SUM(I78:I89)</f>
        <v>2940339</v>
      </c>
      <c r="J77" s="26">
        <f t="shared" si="65"/>
        <v>2940339</v>
      </c>
      <c r="K77" s="26">
        <f t="shared" si="65"/>
        <v>0</v>
      </c>
    </row>
    <row r="78" spans="1:11" s="8" customFormat="1" ht="63.75" outlineLevel="3" x14ac:dyDescent="0.2">
      <c r="A78" s="28" t="s">
        <v>109</v>
      </c>
      <c r="B78" s="29" t="s">
        <v>110</v>
      </c>
      <c r="C78" s="30">
        <f>87646+10345.88-10346</f>
        <v>87645.88</v>
      </c>
      <c r="D78" s="30">
        <f>87646+10345.88-10346</f>
        <v>87645.88</v>
      </c>
      <c r="E78" s="31">
        <f t="shared" si="60"/>
        <v>0</v>
      </c>
      <c r="F78" s="30">
        <f>88532+11232.02-11232</f>
        <v>88532.02</v>
      </c>
      <c r="G78" s="30">
        <f>88532+11232.02-11232</f>
        <v>88532.02</v>
      </c>
      <c r="H78" s="30">
        <f t="shared" si="67"/>
        <v>0</v>
      </c>
      <c r="I78" s="30">
        <f>89785+12485.07-12485</f>
        <v>89785.07</v>
      </c>
      <c r="J78" s="30">
        <f>89785+12485.07-12485</f>
        <v>89785.07</v>
      </c>
      <c r="K78" s="30">
        <f t="shared" si="61"/>
        <v>0</v>
      </c>
    </row>
    <row r="79" spans="1:11" s="8" customFormat="1" ht="102.75" customHeight="1" outlineLevel="3" x14ac:dyDescent="0.2">
      <c r="A79" s="28" t="s">
        <v>280</v>
      </c>
      <c r="B79" s="29" t="s">
        <v>281</v>
      </c>
      <c r="C79" s="30">
        <v>40000</v>
      </c>
      <c r="D79" s="30">
        <v>40000</v>
      </c>
      <c r="E79" s="31">
        <f t="shared" si="60"/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</row>
    <row r="80" spans="1:11" s="8" customFormat="1" ht="89.25" outlineLevel="3" x14ac:dyDescent="0.2">
      <c r="A80" s="28" t="s">
        <v>111</v>
      </c>
      <c r="B80" s="29" t="s">
        <v>112</v>
      </c>
      <c r="C80" s="30">
        <f>193447+26946.99</f>
        <v>220393.99</v>
      </c>
      <c r="D80" s="30">
        <f>193447+26946.99</f>
        <v>220393.99</v>
      </c>
      <c r="E80" s="31">
        <f t="shared" si="60"/>
        <v>0</v>
      </c>
      <c r="F80" s="30">
        <f>198709+33208.81</f>
        <v>231917.81</v>
      </c>
      <c r="G80" s="30">
        <f>198709+33208.81</f>
        <v>231917.81</v>
      </c>
      <c r="H80" s="30">
        <f t="shared" si="67"/>
        <v>0</v>
      </c>
      <c r="I80" s="30">
        <f>194853+28352.86</f>
        <v>223205.86</v>
      </c>
      <c r="J80" s="30">
        <f>194853+28352.86</f>
        <v>223205.86</v>
      </c>
      <c r="K80" s="30">
        <f t="shared" si="61"/>
        <v>0</v>
      </c>
    </row>
    <row r="81" spans="1:11" s="8" customFormat="1" ht="76.5" outlineLevel="3" x14ac:dyDescent="0.2">
      <c r="A81" s="28" t="s">
        <v>113</v>
      </c>
      <c r="B81" s="29" t="s">
        <v>114</v>
      </c>
      <c r="C81" s="30">
        <f>46707+597.3-597</f>
        <v>46707.3</v>
      </c>
      <c r="D81" s="30">
        <f>46707+597.3-597</f>
        <v>46707.3</v>
      </c>
      <c r="E81" s="31">
        <f t="shared" si="60"/>
        <v>0</v>
      </c>
      <c r="F81" s="30">
        <f>46576+465.77-466</f>
        <v>46575.77</v>
      </c>
      <c r="G81" s="30">
        <f>46576+465.77-466</f>
        <v>46575.77</v>
      </c>
      <c r="H81" s="30">
        <f t="shared" si="67"/>
        <v>0</v>
      </c>
      <c r="I81" s="30">
        <f>46464+354.36-354</f>
        <v>46464.36</v>
      </c>
      <c r="J81" s="30">
        <f>46464+354.36-354</f>
        <v>46464.36</v>
      </c>
      <c r="K81" s="30">
        <f t="shared" si="61"/>
        <v>0</v>
      </c>
    </row>
    <row r="82" spans="1:11" s="8" customFormat="1" ht="76.5" outlineLevel="3" x14ac:dyDescent="0.2">
      <c r="A82" s="28" t="s">
        <v>115</v>
      </c>
      <c r="B82" s="29" t="s">
        <v>116</v>
      </c>
      <c r="C82" s="30">
        <v>10700</v>
      </c>
      <c r="D82" s="30">
        <v>10700</v>
      </c>
      <c r="E82" s="31">
        <f t="shared" si="60"/>
        <v>0</v>
      </c>
      <c r="F82" s="30">
        <v>10700</v>
      </c>
      <c r="G82" s="30">
        <v>10700</v>
      </c>
      <c r="H82" s="30">
        <f t="shared" si="67"/>
        <v>0</v>
      </c>
      <c r="I82" s="30">
        <v>10700</v>
      </c>
      <c r="J82" s="30">
        <v>10700</v>
      </c>
      <c r="K82" s="30">
        <f t="shared" si="61"/>
        <v>0</v>
      </c>
    </row>
    <row r="83" spans="1:11" s="8" customFormat="1" ht="63.75" outlineLevel="3" x14ac:dyDescent="0.2">
      <c r="A83" s="28" t="s">
        <v>117</v>
      </c>
      <c r="B83" s="29" t="s">
        <v>118</v>
      </c>
      <c r="C83" s="30">
        <f>3567-67+66.67</f>
        <v>3566.67</v>
      </c>
      <c r="D83" s="30">
        <f>3567-67+66.67</f>
        <v>3566.67</v>
      </c>
      <c r="E83" s="31">
        <f t="shared" si="60"/>
        <v>0</v>
      </c>
      <c r="F83" s="30">
        <f>3589-89+88.89</f>
        <v>3588.89</v>
      </c>
      <c r="G83" s="30">
        <f>3589-89+88.89</f>
        <v>3588.89</v>
      </c>
      <c r="H83" s="30">
        <f t="shared" si="67"/>
        <v>0</v>
      </c>
      <c r="I83" s="30">
        <f>3619-119+118.52</f>
        <v>3618.52</v>
      </c>
      <c r="J83" s="30">
        <f>3619-119+118.52</f>
        <v>3618.52</v>
      </c>
      <c r="K83" s="30">
        <f t="shared" si="61"/>
        <v>0</v>
      </c>
    </row>
    <row r="84" spans="1:11" s="8" customFormat="1" ht="89.25" outlineLevel="3" x14ac:dyDescent="0.2">
      <c r="A84" s="28" t="s">
        <v>119</v>
      </c>
      <c r="B84" s="29" t="s">
        <v>120</v>
      </c>
      <c r="C84" s="30">
        <v>691800</v>
      </c>
      <c r="D84" s="30">
        <v>691800</v>
      </c>
      <c r="E84" s="31">
        <f t="shared" si="60"/>
        <v>0</v>
      </c>
      <c r="F84" s="30">
        <v>691800</v>
      </c>
      <c r="G84" s="30">
        <v>691800</v>
      </c>
      <c r="H84" s="30">
        <f t="shared" si="67"/>
        <v>0</v>
      </c>
      <c r="I84" s="30">
        <v>691800</v>
      </c>
      <c r="J84" s="30">
        <v>691800</v>
      </c>
      <c r="K84" s="30">
        <f t="shared" si="61"/>
        <v>0</v>
      </c>
    </row>
    <row r="85" spans="1:11" s="8" customFormat="1" ht="114.75" outlineLevel="3" x14ac:dyDescent="0.2">
      <c r="A85" s="28" t="s">
        <v>121</v>
      </c>
      <c r="B85" s="29" t="s">
        <v>122</v>
      </c>
      <c r="C85" s="30">
        <v>43600</v>
      </c>
      <c r="D85" s="30">
        <v>43600</v>
      </c>
      <c r="E85" s="31">
        <f t="shared" si="60"/>
        <v>0</v>
      </c>
      <c r="F85" s="30">
        <v>43600</v>
      </c>
      <c r="G85" s="30">
        <v>43600</v>
      </c>
      <c r="H85" s="30">
        <f t="shared" si="67"/>
        <v>0</v>
      </c>
      <c r="I85" s="30">
        <v>43600</v>
      </c>
      <c r="J85" s="30">
        <v>43600</v>
      </c>
      <c r="K85" s="30">
        <f t="shared" si="61"/>
        <v>0</v>
      </c>
    </row>
    <row r="86" spans="1:11" s="8" customFormat="1" ht="76.5" outlineLevel="3" x14ac:dyDescent="0.2">
      <c r="A86" s="28" t="s">
        <v>123</v>
      </c>
      <c r="B86" s="29" t="s">
        <v>124</v>
      </c>
      <c r="C86" s="30">
        <v>2200</v>
      </c>
      <c r="D86" s="30">
        <v>2200</v>
      </c>
      <c r="E86" s="31">
        <f t="shared" si="60"/>
        <v>0</v>
      </c>
      <c r="F86" s="30">
        <v>2200</v>
      </c>
      <c r="G86" s="30">
        <v>2200</v>
      </c>
      <c r="H86" s="30">
        <f t="shared" si="67"/>
        <v>0</v>
      </c>
      <c r="I86" s="30">
        <v>2200</v>
      </c>
      <c r="J86" s="30">
        <v>2200</v>
      </c>
      <c r="K86" s="30">
        <f t="shared" si="61"/>
        <v>0</v>
      </c>
    </row>
    <row r="87" spans="1:11" s="8" customFormat="1" ht="76.5" outlineLevel="3" x14ac:dyDescent="0.2">
      <c r="A87" s="28" t="s">
        <v>125</v>
      </c>
      <c r="B87" s="29" t="s">
        <v>126</v>
      </c>
      <c r="C87" s="30">
        <v>41200</v>
      </c>
      <c r="D87" s="30">
        <v>41200</v>
      </c>
      <c r="E87" s="31">
        <f t="shared" si="60"/>
        <v>0</v>
      </c>
      <c r="F87" s="30">
        <v>41200</v>
      </c>
      <c r="G87" s="30">
        <v>41200</v>
      </c>
      <c r="H87" s="30">
        <f t="shared" si="67"/>
        <v>0</v>
      </c>
      <c r="I87" s="30">
        <v>41200</v>
      </c>
      <c r="J87" s="30">
        <v>41200</v>
      </c>
      <c r="K87" s="30">
        <f t="shared" si="61"/>
        <v>0</v>
      </c>
    </row>
    <row r="88" spans="1:11" s="8" customFormat="1" ht="63.75" outlineLevel="3" x14ac:dyDescent="0.2">
      <c r="A88" s="28" t="s">
        <v>127</v>
      </c>
      <c r="B88" s="29" t="s">
        <v>128</v>
      </c>
      <c r="C88" s="30">
        <f>647033+2033.33</f>
        <v>649066.32999999996</v>
      </c>
      <c r="D88" s="30">
        <f>647033+2033.33</f>
        <v>649066.32999999996</v>
      </c>
      <c r="E88" s="31">
        <f t="shared" si="60"/>
        <v>0</v>
      </c>
      <c r="F88" s="30">
        <f>647678+2677.78</f>
        <v>650355.78</v>
      </c>
      <c r="G88" s="30">
        <f>647678+2677.78</f>
        <v>650355.78</v>
      </c>
      <c r="H88" s="30">
        <f t="shared" si="67"/>
        <v>0</v>
      </c>
      <c r="I88" s="30">
        <f>647904+2903.7</f>
        <v>650807.69999999995</v>
      </c>
      <c r="J88" s="30">
        <f>647904+2903.7</f>
        <v>650807.69999999995</v>
      </c>
      <c r="K88" s="30">
        <f t="shared" si="61"/>
        <v>0</v>
      </c>
    </row>
    <row r="89" spans="1:11" s="8" customFormat="1" ht="76.5" outlineLevel="3" x14ac:dyDescent="0.2">
      <c r="A89" s="28" t="s">
        <v>129</v>
      </c>
      <c r="B89" s="29" t="s">
        <v>130</v>
      </c>
      <c r="C89" s="30">
        <f>1135471+52471.04-52471</f>
        <v>1135471.04</v>
      </c>
      <c r="D89" s="30">
        <f>1135471+52471.04-52471</f>
        <v>1135471.04</v>
      </c>
      <c r="E89" s="31">
        <f t="shared" si="60"/>
        <v>0</v>
      </c>
      <c r="F89" s="30">
        <f>1139508+56508.26-56508</f>
        <v>1139508.26</v>
      </c>
      <c r="G89" s="30">
        <f>1139508+56508.26-56508</f>
        <v>1139508.26</v>
      </c>
      <c r="H89" s="30">
        <f t="shared" si="67"/>
        <v>0</v>
      </c>
      <c r="I89" s="30">
        <f>1136957+53957.49-53957</f>
        <v>1136957.49</v>
      </c>
      <c r="J89" s="30">
        <f>1136957+53957.49-53957</f>
        <v>1136957.49</v>
      </c>
      <c r="K89" s="30">
        <f t="shared" si="61"/>
        <v>0</v>
      </c>
    </row>
    <row r="90" spans="1:11" s="8" customFormat="1" ht="89.25" outlineLevel="2" x14ac:dyDescent="0.2">
      <c r="A90" s="19" t="s">
        <v>131</v>
      </c>
      <c r="B90" s="38" t="s">
        <v>132</v>
      </c>
      <c r="C90" s="26">
        <f>SUM(C91:C92)</f>
        <v>50000</v>
      </c>
      <c r="D90" s="26">
        <f>SUM(D91:D92)</f>
        <v>50000</v>
      </c>
      <c r="E90" s="27">
        <f t="shared" ref="E90:K90" si="69">SUM(E91:E92)</f>
        <v>0</v>
      </c>
      <c r="F90" s="26">
        <f t="shared" ref="F90" si="70">SUM(F91:F92)</f>
        <v>50000</v>
      </c>
      <c r="G90" s="26">
        <f t="shared" si="69"/>
        <v>50000</v>
      </c>
      <c r="H90" s="26">
        <f t="shared" si="67"/>
        <v>0</v>
      </c>
      <c r="I90" s="26">
        <f t="shared" ref="I90" si="71">SUM(I91:I92)</f>
        <v>50000</v>
      </c>
      <c r="J90" s="26">
        <f t="shared" si="69"/>
        <v>50000</v>
      </c>
      <c r="K90" s="26">
        <f t="shared" si="69"/>
        <v>0</v>
      </c>
    </row>
    <row r="91" spans="1:11" s="8" customFormat="1" ht="127.5" outlineLevel="3" x14ac:dyDescent="0.2">
      <c r="A91" s="28" t="s">
        <v>133</v>
      </c>
      <c r="B91" s="29" t="s">
        <v>134</v>
      </c>
      <c r="C91" s="30">
        <v>20000</v>
      </c>
      <c r="D91" s="30">
        <v>20000</v>
      </c>
      <c r="E91" s="31">
        <f t="shared" si="60"/>
        <v>0</v>
      </c>
      <c r="F91" s="30">
        <v>20000</v>
      </c>
      <c r="G91" s="30">
        <v>20000</v>
      </c>
      <c r="H91" s="30">
        <f t="shared" si="67"/>
        <v>0</v>
      </c>
      <c r="I91" s="30">
        <v>20000</v>
      </c>
      <c r="J91" s="30">
        <v>20000</v>
      </c>
      <c r="K91" s="30">
        <f t="shared" si="61"/>
        <v>0</v>
      </c>
    </row>
    <row r="92" spans="1:11" s="8" customFormat="1" ht="114.75" outlineLevel="3" x14ac:dyDescent="0.2">
      <c r="A92" s="28" t="s">
        <v>135</v>
      </c>
      <c r="B92" s="29" t="s">
        <v>136</v>
      </c>
      <c r="C92" s="30">
        <v>30000</v>
      </c>
      <c r="D92" s="30">
        <v>30000</v>
      </c>
      <c r="E92" s="31">
        <f t="shared" si="60"/>
        <v>0</v>
      </c>
      <c r="F92" s="30">
        <v>30000</v>
      </c>
      <c r="G92" s="30">
        <v>30000</v>
      </c>
      <c r="H92" s="30">
        <f t="shared" si="67"/>
        <v>0</v>
      </c>
      <c r="I92" s="30">
        <v>30000</v>
      </c>
      <c r="J92" s="30">
        <v>30000</v>
      </c>
      <c r="K92" s="30">
        <f t="shared" si="61"/>
        <v>0</v>
      </c>
    </row>
    <row r="93" spans="1:11" s="8" customFormat="1" ht="38.25" outlineLevel="2" x14ac:dyDescent="0.2">
      <c r="A93" s="19" t="s">
        <v>137</v>
      </c>
      <c r="B93" s="25" t="s">
        <v>138</v>
      </c>
      <c r="C93" s="26">
        <f>C94</f>
        <v>165000</v>
      </c>
      <c r="D93" s="26">
        <f>D94</f>
        <v>165000</v>
      </c>
      <c r="E93" s="27">
        <f t="shared" ref="E93" si="72">E94</f>
        <v>0</v>
      </c>
      <c r="F93" s="26">
        <f t="shared" ref="F93:G93" si="73">F94</f>
        <v>170000</v>
      </c>
      <c r="G93" s="26">
        <f t="shared" si="73"/>
        <v>170000</v>
      </c>
      <c r="H93" s="26">
        <f t="shared" si="67"/>
        <v>0</v>
      </c>
      <c r="I93" s="26">
        <f t="shared" ref="I93:J93" si="74">I94</f>
        <v>175000</v>
      </c>
      <c r="J93" s="26">
        <f t="shared" si="74"/>
        <v>175000</v>
      </c>
      <c r="K93" s="26">
        <f t="shared" ref="K93" si="75">K94</f>
        <v>0</v>
      </c>
    </row>
    <row r="94" spans="1:11" s="8" customFormat="1" ht="38.25" outlineLevel="3" x14ac:dyDescent="0.2">
      <c r="A94" s="28" t="s">
        <v>139</v>
      </c>
      <c r="B94" s="36" t="s">
        <v>140</v>
      </c>
      <c r="C94" s="30">
        <v>165000</v>
      </c>
      <c r="D94" s="30">
        <v>165000</v>
      </c>
      <c r="E94" s="31">
        <f t="shared" si="60"/>
        <v>0</v>
      </c>
      <c r="F94" s="30">
        <v>170000</v>
      </c>
      <c r="G94" s="30">
        <v>170000</v>
      </c>
      <c r="H94" s="30">
        <f t="shared" si="67"/>
        <v>0</v>
      </c>
      <c r="I94" s="30">
        <v>175000</v>
      </c>
      <c r="J94" s="30">
        <v>175000</v>
      </c>
      <c r="K94" s="30">
        <f t="shared" si="61"/>
        <v>0</v>
      </c>
    </row>
    <row r="95" spans="1:11" s="8" customFormat="1" ht="102" outlineLevel="2" x14ac:dyDescent="0.2">
      <c r="A95" s="19" t="s">
        <v>141</v>
      </c>
      <c r="B95" s="38" t="s">
        <v>142</v>
      </c>
      <c r="C95" s="26">
        <f>C96+C97</f>
        <v>558312.39</v>
      </c>
      <c r="D95" s="26">
        <f>D96+D97</f>
        <v>158312.39000000001</v>
      </c>
      <c r="E95" s="31">
        <f t="shared" si="60"/>
        <v>-400000</v>
      </c>
      <c r="F95" s="26">
        <f t="shared" ref="F95:G95" si="76">F96</f>
        <v>500000</v>
      </c>
      <c r="G95" s="26">
        <f t="shared" si="76"/>
        <v>500000</v>
      </c>
      <c r="H95" s="26">
        <f t="shared" si="67"/>
        <v>0</v>
      </c>
      <c r="I95" s="26">
        <f t="shared" ref="I95:J95" si="77">I96</f>
        <v>500000</v>
      </c>
      <c r="J95" s="26">
        <f t="shared" si="77"/>
        <v>500000</v>
      </c>
      <c r="K95" s="26">
        <f t="shared" ref="K95" si="78">K96</f>
        <v>0</v>
      </c>
    </row>
    <row r="96" spans="1:11" s="8" customFormat="1" ht="63.75" outlineLevel="3" x14ac:dyDescent="0.2">
      <c r="A96" s="28" t="s">
        <v>143</v>
      </c>
      <c r="B96" s="36" t="s">
        <v>144</v>
      </c>
      <c r="C96" s="30">
        <v>500000</v>
      </c>
      <c r="D96" s="30">
        <f>500000-400000</f>
        <v>100000</v>
      </c>
      <c r="E96" s="31">
        <f t="shared" si="60"/>
        <v>-400000</v>
      </c>
      <c r="F96" s="30">
        <v>500000</v>
      </c>
      <c r="G96" s="30">
        <v>500000</v>
      </c>
      <c r="H96" s="30">
        <f t="shared" si="67"/>
        <v>0</v>
      </c>
      <c r="I96" s="30">
        <v>500000</v>
      </c>
      <c r="J96" s="30">
        <v>500000</v>
      </c>
      <c r="K96" s="30">
        <f t="shared" si="61"/>
        <v>0</v>
      </c>
    </row>
    <row r="97" spans="1:11" s="8" customFormat="1" ht="63.75" outlineLevel="3" x14ac:dyDescent="0.2">
      <c r="A97" s="34" t="s">
        <v>291</v>
      </c>
      <c r="B97" s="39" t="s">
        <v>290</v>
      </c>
      <c r="C97" s="40">
        <v>58312.39</v>
      </c>
      <c r="D97" s="40">
        <v>58312.39</v>
      </c>
      <c r="E97" s="31">
        <f t="shared" si="60"/>
        <v>0</v>
      </c>
      <c r="F97" s="30"/>
      <c r="G97" s="30"/>
      <c r="H97" s="30"/>
      <c r="I97" s="30"/>
      <c r="J97" s="30"/>
      <c r="K97" s="30"/>
    </row>
    <row r="98" spans="1:11" s="8" customFormat="1" ht="28.5" outlineLevel="2" x14ac:dyDescent="0.2">
      <c r="A98" s="19" t="s">
        <v>145</v>
      </c>
      <c r="B98" s="25" t="s">
        <v>146</v>
      </c>
      <c r="C98" s="26">
        <f>C99</f>
        <v>1211014.1000000001</v>
      </c>
      <c r="D98" s="26">
        <f>D99</f>
        <v>125211014.09999999</v>
      </c>
      <c r="E98" s="27">
        <f t="shared" ref="E98:K98" si="79">E99</f>
        <v>124000000</v>
      </c>
      <c r="F98" s="26">
        <f t="shared" si="79"/>
        <v>1000000</v>
      </c>
      <c r="G98" s="26">
        <f t="shared" si="79"/>
        <v>1000000</v>
      </c>
      <c r="H98" s="26">
        <f t="shared" si="67"/>
        <v>0</v>
      </c>
      <c r="I98" s="26">
        <f t="shared" si="79"/>
        <v>1000000</v>
      </c>
      <c r="J98" s="26">
        <f t="shared" si="79"/>
        <v>1000000</v>
      </c>
      <c r="K98" s="26">
        <f t="shared" si="79"/>
        <v>0</v>
      </c>
    </row>
    <row r="99" spans="1:11" s="8" customFormat="1" ht="51" outlineLevel="3" x14ac:dyDescent="0.2">
      <c r="A99" s="28" t="s">
        <v>147</v>
      </c>
      <c r="B99" s="36" t="s">
        <v>148</v>
      </c>
      <c r="C99" s="30">
        <f>1000000+211014.1</f>
        <v>1211014.1000000001</v>
      </c>
      <c r="D99" s="30">
        <f>1000000+211014.1+124000000</f>
        <v>125211014.09999999</v>
      </c>
      <c r="E99" s="31">
        <f t="shared" si="60"/>
        <v>124000000</v>
      </c>
      <c r="F99" s="30">
        <v>1000000</v>
      </c>
      <c r="G99" s="30">
        <v>1000000</v>
      </c>
      <c r="H99" s="30">
        <f t="shared" si="67"/>
        <v>0</v>
      </c>
      <c r="I99" s="30">
        <v>1000000</v>
      </c>
      <c r="J99" s="30">
        <v>1000000</v>
      </c>
      <c r="K99" s="30">
        <f t="shared" si="61"/>
        <v>0</v>
      </c>
    </row>
    <row r="100" spans="1:11" s="8" customFormat="1" ht="28.5" x14ac:dyDescent="0.2">
      <c r="A100" s="19" t="s">
        <v>149</v>
      </c>
      <c r="B100" s="25" t="s">
        <v>150</v>
      </c>
      <c r="C100" s="26">
        <f>C101+C162+C160</f>
        <v>3232095391.9199996</v>
      </c>
      <c r="D100" s="26">
        <f>D101+D162+D160</f>
        <v>3255449229.29</v>
      </c>
      <c r="E100" s="27">
        <f t="shared" si="60"/>
        <v>23353837.370000362</v>
      </c>
      <c r="F100" s="26">
        <f t="shared" ref="F100:J100" si="80">F101</f>
        <v>2314941241.0999999</v>
      </c>
      <c r="G100" s="26">
        <f t="shared" si="80"/>
        <v>2314941241.0999999</v>
      </c>
      <c r="H100" s="26">
        <f t="shared" si="67"/>
        <v>0</v>
      </c>
      <c r="I100" s="26">
        <f t="shared" si="80"/>
        <v>2035423021.9299998</v>
      </c>
      <c r="J100" s="26">
        <f t="shared" si="80"/>
        <v>2035423021.9299998</v>
      </c>
      <c r="K100" s="26">
        <f t="shared" si="61"/>
        <v>0</v>
      </c>
    </row>
    <row r="101" spans="1:11" s="8" customFormat="1" ht="38.25" outlineLevel="1" x14ac:dyDescent="0.2">
      <c r="A101" s="19" t="s">
        <v>151</v>
      </c>
      <c r="B101" s="25" t="s">
        <v>152</v>
      </c>
      <c r="C101" s="26">
        <f>C102+C104+C129+C157</f>
        <v>3238276376.9299998</v>
      </c>
      <c r="D101" s="26">
        <f>D102+D104+D129+D157</f>
        <v>3261766277.04</v>
      </c>
      <c r="E101" s="27">
        <f t="shared" si="60"/>
        <v>23489900.110000134</v>
      </c>
      <c r="F101" s="26">
        <f t="shared" ref="F101" si="81">F102+F104+F129+F157</f>
        <v>2314941241.0999999</v>
      </c>
      <c r="G101" s="26">
        <f t="shared" ref="G101:J101" si="82">G102+G104+G129+G157</f>
        <v>2314941241.0999999</v>
      </c>
      <c r="H101" s="26">
        <f t="shared" si="67"/>
        <v>0</v>
      </c>
      <c r="I101" s="26">
        <f t="shared" ref="I101" si="83">I102+I104+I129+I157</f>
        <v>2035423021.9299998</v>
      </c>
      <c r="J101" s="26">
        <f t="shared" si="82"/>
        <v>2035423021.9299998</v>
      </c>
      <c r="K101" s="26">
        <f t="shared" si="61"/>
        <v>0</v>
      </c>
    </row>
    <row r="102" spans="1:11" s="8" customFormat="1" ht="28.5" outlineLevel="2" x14ac:dyDescent="0.2">
      <c r="A102" s="19" t="s">
        <v>153</v>
      </c>
      <c r="B102" s="25" t="s">
        <v>154</v>
      </c>
      <c r="C102" s="26">
        <f>C103</f>
        <v>73957000</v>
      </c>
      <c r="D102" s="26">
        <f>D103</f>
        <v>73957000</v>
      </c>
      <c r="E102" s="27">
        <f t="shared" ref="E102:K102" si="84">E103</f>
        <v>0</v>
      </c>
      <c r="F102" s="26">
        <f t="shared" si="84"/>
        <v>43593100</v>
      </c>
      <c r="G102" s="26">
        <f t="shared" si="84"/>
        <v>43593100</v>
      </c>
      <c r="H102" s="26">
        <f t="shared" si="67"/>
        <v>0</v>
      </c>
      <c r="I102" s="26">
        <f t="shared" si="84"/>
        <v>43967200</v>
      </c>
      <c r="J102" s="26">
        <f t="shared" si="84"/>
        <v>43967200</v>
      </c>
      <c r="K102" s="26">
        <f t="shared" si="84"/>
        <v>0</v>
      </c>
    </row>
    <row r="103" spans="1:11" s="8" customFormat="1" ht="31.5" customHeight="1" outlineLevel="3" x14ac:dyDescent="0.2">
      <c r="A103" s="28" t="s">
        <v>155</v>
      </c>
      <c r="B103" s="36" t="s">
        <v>156</v>
      </c>
      <c r="C103" s="30">
        <f>70757000+3200000</f>
        <v>73957000</v>
      </c>
      <c r="D103" s="30">
        <f>70757000+3200000</f>
        <v>73957000</v>
      </c>
      <c r="E103" s="31">
        <f t="shared" si="60"/>
        <v>0</v>
      </c>
      <c r="F103" s="30">
        <v>43593100</v>
      </c>
      <c r="G103" s="30">
        <v>43593100</v>
      </c>
      <c r="H103" s="30">
        <f t="shared" si="67"/>
        <v>0</v>
      </c>
      <c r="I103" s="30">
        <v>43967200</v>
      </c>
      <c r="J103" s="30">
        <v>43967200</v>
      </c>
      <c r="K103" s="30">
        <f t="shared" si="61"/>
        <v>0</v>
      </c>
    </row>
    <row r="104" spans="1:11" s="8" customFormat="1" ht="28.5" outlineLevel="2" x14ac:dyDescent="0.2">
      <c r="A104" s="19" t="s">
        <v>157</v>
      </c>
      <c r="B104" s="25" t="s">
        <v>158</v>
      </c>
      <c r="C104" s="26">
        <f>SUM(C105:C115)</f>
        <v>1918439569.9400001</v>
      </c>
      <c r="D104" s="26">
        <f>SUM(D105:D115)</f>
        <v>1918439569.9400001</v>
      </c>
      <c r="E104" s="27">
        <f t="shared" ref="E104:K104" si="85">SUM(E105:E115)</f>
        <v>0</v>
      </c>
      <c r="F104" s="26">
        <f t="shared" ref="F104" si="86">SUM(F105:F115)</f>
        <v>1008244039.7</v>
      </c>
      <c r="G104" s="26">
        <f t="shared" si="85"/>
        <v>1008244039.7</v>
      </c>
      <c r="H104" s="26">
        <f t="shared" si="67"/>
        <v>0</v>
      </c>
      <c r="I104" s="26">
        <f>SUM(I105:I115)</f>
        <v>675816629.56999993</v>
      </c>
      <c r="J104" s="26">
        <f>SUM(J105:J115)</f>
        <v>675816629.56999993</v>
      </c>
      <c r="K104" s="26">
        <f t="shared" si="85"/>
        <v>0</v>
      </c>
    </row>
    <row r="105" spans="1:11" s="8" customFormat="1" ht="33" customHeight="1" outlineLevel="3" x14ac:dyDescent="0.2">
      <c r="A105" s="28" t="s">
        <v>159</v>
      </c>
      <c r="B105" s="36" t="s">
        <v>160</v>
      </c>
      <c r="C105" s="30">
        <f>785527700+15610177.93</f>
        <v>801137877.92999995</v>
      </c>
      <c r="D105" s="30">
        <f>785527700+15610177.93</f>
        <v>801137877.92999995</v>
      </c>
      <c r="E105" s="31">
        <f t="shared" si="60"/>
        <v>0</v>
      </c>
      <c r="F105" s="30">
        <v>0</v>
      </c>
      <c r="G105" s="30">
        <v>0</v>
      </c>
      <c r="H105" s="30">
        <f t="shared" si="67"/>
        <v>0</v>
      </c>
      <c r="I105" s="30">
        <v>0</v>
      </c>
      <c r="J105" s="30">
        <v>0</v>
      </c>
      <c r="K105" s="30">
        <f t="shared" si="61"/>
        <v>0</v>
      </c>
    </row>
    <row r="106" spans="1:11" s="8" customFormat="1" ht="38.25" outlineLevel="3" x14ac:dyDescent="0.2">
      <c r="A106" s="28" t="s">
        <v>161</v>
      </c>
      <c r="B106" s="36" t="s">
        <v>162</v>
      </c>
      <c r="C106" s="30">
        <v>598637.97</v>
      </c>
      <c r="D106" s="30">
        <v>598637.97</v>
      </c>
      <c r="E106" s="31">
        <f t="shared" si="60"/>
        <v>0</v>
      </c>
      <c r="F106" s="30">
        <v>0</v>
      </c>
      <c r="G106" s="30">
        <v>0</v>
      </c>
      <c r="H106" s="30">
        <f t="shared" si="67"/>
        <v>0</v>
      </c>
      <c r="I106" s="30">
        <v>0</v>
      </c>
      <c r="J106" s="30">
        <v>0</v>
      </c>
      <c r="K106" s="30">
        <f t="shared" si="61"/>
        <v>0</v>
      </c>
    </row>
    <row r="107" spans="1:11" s="8" customFormat="1" ht="51" outlineLevel="3" x14ac:dyDescent="0.2">
      <c r="A107" s="28" t="s">
        <v>163</v>
      </c>
      <c r="B107" s="36" t="s">
        <v>164</v>
      </c>
      <c r="C107" s="30">
        <f>84464400+32.99+84464432.99-84464432.99</f>
        <v>84464432.989999995</v>
      </c>
      <c r="D107" s="30">
        <f>84464400+32.99+84464432.99-84464432.99</f>
        <v>84464432.989999995</v>
      </c>
      <c r="E107" s="31">
        <f t="shared" si="60"/>
        <v>0</v>
      </c>
      <c r="F107" s="30">
        <f>151870900+37.5</f>
        <v>151870937.5</v>
      </c>
      <c r="G107" s="30">
        <f>151870900+37.5</f>
        <v>151870937.5</v>
      </c>
      <c r="H107" s="30">
        <f t="shared" si="67"/>
        <v>0</v>
      </c>
      <c r="I107" s="30">
        <f>141330300+12.5+52083333.33</f>
        <v>193413645.82999998</v>
      </c>
      <c r="J107" s="30">
        <f>141330300+12.5+52083333.33</f>
        <v>193413645.82999998</v>
      </c>
      <c r="K107" s="30">
        <f t="shared" si="61"/>
        <v>0</v>
      </c>
    </row>
    <row r="108" spans="1:11" s="8" customFormat="1" ht="51" outlineLevel="3" x14ac:dyDescent="0.2">
      <c r="A108" s="28" t="s">
        <v>165</v>
      </c>
      <c r="B108" s="36" t="s">
        <v>166</v>
      </c>
      <c r="C108" s="30">
        <v>151515151.52000001</v>
      </c>
      <c r="D108" s="30">
        <v>151515151.52000001</v>
      </c>
      <c r="E108" s="31">
        <f t="shared" si="60"/>
        <v>0</v>
      </c>
      <c r="F108" s="30">
        <v>0</v>
      </c>
      <c r="G108" s="30">
        <v>0</v>
      </c>
      <c r="H108" s="30">
        <f t="shared" si="67"/>
        <v>0</v>
      </c>
      <c r="I108" s="30">
        <v>0</v>
      </c>
      <c r="J108" s="30">
        <v>0</v>
      </c>
      <c r="K108" s="30">
        <f t="shared" si="61"/>
        <v>0</v>
      </c>
    </row>
    <row r="109" spans="1:11" s="8" customFormat="1" ht="33" customHeight="1" outlineLevel="3" x14ac:dyDescent="0.2">
      <c r="A109" s="28" t="s">
        <v>233</v>
      </c>
      <c r="B109" s="36" t="s">
        <v>234</v>
      </c>
      <c r="C109" s="30">
        <v>8000000</v>
      </c>
      <c r="D109" s="30">
        <v>8000000</v>
      </c>
      <c r="E109" s="31">
        <f t="shared" si="60"/>
        <v>0</v>
      </c>
      <c r="F109" s="30">
        <v>0</v>
      </c>
      <c r="G109" s="30">
        <v>0</v>
      </c>
      <c r="H109" s="30">
        <f t="shared" si="67"/>
        <v>0</v>
      </c>
      <c r="I109" s="30">
        <v>0</v>
      </c>
      <c r="J109" s="30">
        <v>0</v>
      </c>
      <c r="K109" s="30">
        <v>0</v>
      </c>
    </row>
    <row r="110" spans="1:11" s="8" customFormat="1" ht="34.5" customHeight="1" outlineLevel="3" x14ac:dyDescent="0.2">
      <c r="A110" s="28" t="s">
        <v>167</v>
      </c>
      <c r="B110" s="36" t="s">
        <v>168</v>
      </c>
      <c r="C110" s="30">
        <f>2183244</f>
        <v>2183244</v>
      </c>
      <c r="D110" s="30">
        <f>2183244</f>
        <v>2183244</v>
      </c>
      <c r="E110" s="31">
        <f t="shared" si="60"/>
        <v>0</v>
      </c>
      <c r="F110" s="30">
        <v>1844212.36</v>
      </c>
      <c r="G110" s="30">
        <v>1844212.36</v>
      </c>
      <c r="H110" s="30" t="s">
        <v>300</v>
      </c>
      <c r="I110" s="30">
        <v>1919066.01</v>
      </c>
      <c r="J110" s="30">
        <v>1919066.01</v>
      </c>
      <c r="K110" s="30">
        <f t="shared" si="61"/>
        <v>0</v>
      </c>
    </row>
    <row r="111" spans="1:11" s="8" customFormat="1" ht="51" outlineLevel="3" x14ac:dyDescent="0.2">
      <c r="A111" s="28" t="s">
        <v>169</v>
      </c>
      <c r="B111" s="36" t="s">
        <v>170</v>
      </c>
      <c r="C111" s="30">
        <f>308305127.28-34-7272727.28+93935400+7977736.55+400</f>
        <v>402945902.55000001</v>
      </c>
      <c r="D111" s="30">
        <f>308305127.28-34-7272727.28+93935400+7977736.55+400</f>
        <v>402945902.55000001</v>
      </c>
      <c r="E111" s="31">
        <f t="shared" si="60"/>
        <v>0</v>
      </c>
      <c r="F111" s="30">
        <f>29636027.28+34-7272727.28+93935400+8059981.26+400</f>
        <v>124359115.26000001</v>
      </c>
      <c r="G111" s="30">
        <f>29636027.28+34-7272727.28+93935400+8059981.26+400</f>
        <v>124359115.26000001</v>
      </c>
      <c r="H111" s="30">
        <f t="shared" si="67"/>
        <v>0</v>
      </c>
      <c r="I111" s="30">
        <f>105002800+200</f>
        <v>105003000</v>
      </c>
      <c r="J111" s="30">
        <f>105002800+200</f>
        <v>105003000</v>
      </c>
      <c r="K111" s="30">
        <f t="shared" si="61"/>
        <v>0</v>
      </c>
    </row>
    <row r="112" spans="1:11" s="8" customFormat="1" ht="38.25" outlineLevel="3" x14ac:dyDescent="0.2">
      <c r="A112" s="28" t="s">
        <v>171</v>
      </c>
      <c r="B112" s="36" t="s">
        <v>172</v>
      </c>
      <c r="C112" s="30">
        <v>0</v>
      </c>
      <c r="D112" s="30">
        <v>0</v>
      </c>
      <c r="E112" s="31">
        <f t="shared" si="60"/>
        <v>0</v>
      </c>
      <c r="F112" s="30">
        <v>0</v>
      </c>
      <c r="G112" s="30">
        <v>0</v>
      </c>
      <c r="H112" s="30">
        <f t="shared" si="67"/>
        <v>0</v>
      </c>
      <c r="I112" s="30">
        <v>1421000</v>
      </c>
      <c r="J112" s="30">
        <v>1421000</v>
      </c>
      <c r="K112" s="30">
        <f t="shared" si="61"/>
        <v>0</v>
      </c>
    </row>
    <row r="113" spans="1:11" s="8" customFormat="1" ht="25.5" outlineLevel="3" x14ac:dyDescent="0.2">
      <c r="A113" s="28" t="s">
        <v>173</v>
      </c>
      <c r="B113" s="36" t="s">
        <v>174</v>
      </c>
      <c r="C113" s="30">
        <f>22283404.71-2714612</f>
        <v>19568792.710000001</v>
      </c>
      <c r="D113" s="30">
        <f>22283404.71-2714612</f>
        <v>19568792.710000001</v>
      </c>
      <c r="E113" s="31">
        <f t="shared" si="60"/>
        <v>0</v>
      </c>
      <c r="F113" s="30">
        <f>21396100-25.31</f>
        <v>21396074.690000001</v>
      </c>
      <c r="G113" s="30">
        <f>21396100-25.31</f>
        <v>21396074.690000001</v>
      </c>
      <c r="H113" s="30">
        <f t="shared" si="67"/>
        <v>0</v>
      </c>
      <c r="I113" s="30">
        <f>20512100-37.59</f>
        <v>20512062.41</v>
      </c>
      <c r="J113" s="30">
        <f>20512100-37.59</f>
        <v>20512062.41</v>
      </c>
      <c r="K113" s="30">
        <f t="shared" si="61"/>
        <v>0</v>
      </c>
    </row>
    <row r="114" spans="1:11" s="8" customFormat="1" ht="38.25" outlineLevel="3" x14ac:dyDescent="0.2">
      <c r="A114" s="28" t="s">
        <v>175</v>
      </c>
      <c r="B114" s="36" t="s">
        <v>176</v>
      </c>
      <c r="C114" s="30">
        <v>14814814.810000001</v>
      </c>
      <c r="D114" s="30">
        <v>14814814.810000001</v>
      </c>
      <c r="E114" s="31">
        <f t="shared" si="60"/>
        <v>0</v>
      </c>
      <c r="F114" s="30">
        <v>0</v>
      </c>
      <c r="G114" s="30">
        <v>0</v>
      </c>
      <c r="H114" s="30">
        <f t="shared" si="67"/>
        <v>0</v>
      </c>
      <c r="I114" s="30">
        <v>0</v>
      </c>
      <c r="J114" s="30">
        <v>0</v>
      </c>
      <c r="K114" s="30">
        <f t="shared" si="61"/>
        <v>0</v>
      </c>
    </row>
    <row r="115" spans="1:11" s="43" customFormat="1" ht="32.25" customHeight="1" outlineLevel="3" x14ac:dyDescent="0.25">
      <c r="A115" s="41" t="s">
        <v>177</v>
      </c>
      <c r="B115" s="42" t="s">
        <v>212</v>
      </c>
      <c r="C115" s="26">
        <f>SUM(C116:C128)</f>
        <v>433210715.45999998</v>
      </c>
      <c r="D115" s="26">
        <f>SUM(D116:D128)</f>
        <v>433210715.45999998</v>
      </c>
      <c r="E115" s="27">
        <f t="shared" ref="E115:K115" si="87">SUM(E116:E128)</f>
        <v>0</v>
      </c>
      <c r="F115" s="26">
        <f t="shared" ref="F115" si="88">SUM(F116:F128)</f>
        <v>708773699.88999999</v>
      </c>
      <c r="G115" s="26">
        <f t="shared" si="87"/>
        <v>708773699.88999999</v>
      </c>
      <c r="H115" s="26">
        <f t="shared" si="67"/>
        <v>0</v>
      </c>
      <c r="I115" s="26">
        <f t="shared" ref="I115" si="89">SUM(I116:I128)</f>
        <v>353547855.31999999</v>
      </c>
      <c r="J115" s="26">
        <f t="shared" si="87"/>
        <v>353547855.31999999</v>
      </c>
      <c r="K115" s="26">
        <f t="shared" si="87"/>
        <v>0</v>
      </c>
    </row>
    <row r="116" spans="1:11" s="8" customFormat="1" ht="51" outlineLevel="3" x14ac:dyDescent="0.2">
      <c r="A116" s="44" t="s">
        <v>177</v>
      </c>
      <c r="B116" s="45" t="s">
        <v>201</v>
      </c>
      <c r="C116" s="46">
        <f>6984434.21-1238088.67</f>
        <v>5746345.54</v>
      </c>
      <c r="D116" s="46">
        <f>6984434.21-1238088.67</f>
        <v>5746345.54</v>
      </c>
      <c r="E116" s="31">
        <f t="shared" si="60"/>
        <v>0</v>
      </c>
      <c r="F116" s="46">
        <f>2935100-23.37-682198.87</f>
        <v>2252877.7599999998</v>
      </c>
      <c r="G116" s="46">
        <f>2935100-23.37-682198.87</f>
        <v>2252877.7599999998</v>
      </c>
      <c r="H116" s="30">
        <f t="shared" si="67"/>
        <v>0</v>
      </c>
      <c r="I116" s="46">
        <f>2916300-6.3-661738.33</f>
        <v>2254555.37</v>
      </c>
      <c r="J116" s="46">
        <f>2916300-6.3-661738.33</f>
        <v>2254555.37</v>
      </c>
      <c r="K116" s="30">
        <f t="shared" si="61"/>
        <v>0</v>
      </c>
    </row>
    <row r="117" spans="1:11" s="8" customFormat="1" ht="51" outlineLevel="3" x14ac:dyDescent="0.2">
      <c r="A117" s="44" t="s">
        <v>177</v>
      </c>
      <c r="B117" s="45" t="s">
        <v>202</v>
      </c>
      <c r="C117" s="46">
        <v>4647271.6399999997</v>
      </c>
      <c r="D117" s="46">
        <v>4647271.6399999997</v>
      </c>
      <c r="E117" s="31">
        <f t="shared" si="60"/>
        <v>0</v>
      </c>
      <c r="F117" s="46">
        <v>4794751.0599999996</v>
      </c>
      <c r="G117" s="46">
        <v>4794751.0599999996</v>
      </c>
      <c r="H117" s="30">
        <f t="shared" si="67"/>
        <v>0</v>
      </c>
      <c r="I117" s="46">
        <v>4942230.4800000004</v>
      </c>
      <c r="J117" s="46">
        <v>4942230.4800000004</v>
      </c>
      <c r="K117" s="30">
        <f t="shared" si="61"/>
        <v>0</v>
      </c>
    </row>
    <row r="118" spans="1:11" s="8" customFormat="1" ht="51" outlineLevel="3" x14ac:dyDescent="0.2">
      <c r="A118" s="44" t="s">
        <v>177</v>
      </c>
      <c r="B118" s="45" t="s">
        <v>203</v>
      </c>
      <c r="C118" s="46">
        <v>2000000</v>
      </c>
      <c r="D118" s="46">
        <v>2000000</v>
      </c>
      <c r="E118" s="31">
        <f t="shared" si="60"/>
        <v>0</v>
      </c>
      <c r="F118" s="46">
        <v>2000000</v>
      </c>
      <c r="G118" s="46">
        <v>2000000</v>
      </c>
      <c r="H118" s="30">
        <f t="shared" si="67"/>
        <v>0</v>
      </c>
      <c r="I118" s="46">
        <v>2000000</v>
      </c>
      <c r="J118" s="46">
        <v>2000000</v>
      </c>
      <c r="K118" s="30">
        <f t="shared" si="61"/>
        <v>0</v>
      </c>
    </row>
    <row r="119" spans="1:11" s="8" customFormat="1" ht="38.25" outlineLevel="3" x14ac:dyDescent="0.2">
      <c r="A119" s="44" t="s">
        <v>177</v>
      </c>
      <c r="B119" s="45" t="s">
        <v>204</v>
      </c>
      <c r="C119" s="47">
        <v>637719.59</v>
      </c>
      <c r="D119" s="47">
        <v>637719.59</v>
      </c>
      <c r="E119" s="31">
        <f t="shared" si="60"/>
        <v>0</v>
      </c>
      <c r="F119" s="47">
        <v>637032.24</v>
      </c>
      <c r="G119" s="47">
        <v>637032.24</v>
      </c>
      <c r="H119" s="30">
        <f t="shared" si="67"/>
        <v>0</v>
      </c>
      <c r="I119" s="47">
        <v>637032.24</v>
      </c>
      <c r="J119" s="47">
        <v>637032.24</v>
      </c>
      <c r="K119" s="30">
        <f t="shared" si="61"/>
        <v>0</v>
      </c>
    </row>
    <row r="120" spans="1:11" s="8" customFormat="1" ht="51" outlineLevel="3" x14ac:dyDescent="0.2">
      <c r="A120" s="44" t="s">
        <v>205</v>
      </c>
      <c r="B120" s="45" t="s">
        <v>206</v>
      </c>
      <c r="C120" s="46">
        <f>23155200+6.63</f>
        <v>23155206.629999999</v>
      </c>
      <c r="D120" s="46">
        <f>23155200+6.63</f>
        <v>23155206.629999999</v>
      </c>
      <c r="E120" s="31">
        <f t="shared" si="60"/>
        <v>0</v>
      </c>
      <c r="F120" s="46">
        <f>23155200+6.63</f>
        <v>23155206.629999999</v>
      </c>
      <c r="G120" s="46">
        <f>23155200+6.63</f>
        <v>23155206.629999999</v>
      </c>
      <c r="H120" s="30">
        <f t="shared" si="67"/>
        <v>0</v>
      </c>
      <c r="I120" s="47">
        <f>39780000+5.03-32000000</f>
        <v>7780005.0300000012</v>
      </c>
      <c r="J120" s="47">
        <f>39780000+5.03-32000000</f>
        <v>7780005.0300000012</v>
      </c>
      <c r="K120" s="30">
        <f t="shared" si="61"/>
        <v>0</v>
      </c>
    </row>
    <row r="121" spans="1:11" s="8" customFormat="1" ht="89.25" outlineLevel="3" x14ac:dyDescent="0.2">
      <c r="A121" s="44" t="s">
        <v>177</v>
      </c>
      <c r="B121" s="45" t="s">
        <v>207</v>
      </c>
      <c r="C121" s="46">
        <v>1827300</v>
      </c>
      <c r="D121" s="46">
        <v>1827300</v>
      </c>
      <c r="E121" s="31">
        <f t="shared" si="60"/>
        <v>0</v>
      </c>
      <c r="F121" s="46">
        <v>456900</v>
      </c>
      <c r="G121" s="46">
        <v>456900</v>
      </c>
      <c r="H121" s="30">
        <f t="shared" si="67"/>
        <v>0</v>
      </c>
      <c r="I121" s="46">
        <v>457100</v>
      </c>
      <c r="J121" s="46">
        <v>457100</v>
      </c>
      <c r="K121" s="30">
        <f t="shared" si="61"/>
        <v>0</v>
      </c>
    </row>
    <row r="122" spans="1:11" s="8" customFormat="1" ht="58.5" customHeight="1" outlineLevel="3" x14ac:dyDescent="0.2">
      <c r="A122" s="44" t="s">
        <v>177</v>
      </c>
      <c r="B122" s="48" t="s">
        <v>164</v>
      </c>
      <c r="C122" s="30">
        <v>201000000</v>
      </c>
      <c r="D122" s="30">
        <v>201000000</v>
      </c>
      <c r="E122" s="31">
        <f t="shared" ref="E122" si="90">D122-C122</f>
        <v>0</v>
      </c>
      <c r="F122" s="30">
        <v>130000000</v>
      </c>
      <c r="G122" s="30">
        <v>130000000</v>
      </c>
      <c r="H122" s="30">
        <f t="shared" ref="H122" si="91">G122-F122</f>
        <v>0</v>
      </c>
      <c r="I122" s="30">
        <v>0</v>
      </c>
      <c r="J122" s="30">
        <v>0</v>
      </c>
      <c r="K122" s="30">
        <f t="shared" ref="K122" si="92">J122-I122</f>
        <v>0</v>
      </c>
    </row>
    <row r="123" spans="1:11" s="8" customFormat="1" ht="38.25" outlineLevel="3" x14ac:dyDescent="0.2">
      <c r="A123" s="44" t="s">
        <v>177</v>
      </c>
      <c r="B123" s="45" t="s">
        <v>208</v>
      </c>
      <c r="C123" s="46">
        <f>313669700-17.8-53276077.78-24304362.36-102600629.2</f>
        <v>133488612.86</v>
      </c>
      <c r="D123" s="46">
        <f>313669700-17.8-53276077.78-24304362.36-102600629.2</f>
        <v>133488612.86</v>
      </c>
      <c r="E123" s="31">
        <f t="shared" si="60"/>
        <v>0</v>
      </c>
      <c r="F123" s="46">
        <f>335477000-67.8</f>
        <v>335476932.19999999</v>
      </c>
      <c r="G123" s="46">
        <f>335477000-67.8</f>
        <v>335476932.19999999</v>
      </c>
      <c r="H123" s="30">
        <f t="shared" si="67"/>
        <v>0</v>
      </c>
      <c r="I123" s="46">
        <f>335476900+32.2</f>
        <v>335476932.19999999</v>
      </c>
      <c r="J123" s="46">
        <f>335476900+32.2</f>
        <v>335476932.19999999</v>
      </c>
      <c r="K123" s="30">
        <f t="shared" si="61"/>
        <v>0</v>
      </c>
    </row>
    <row r="124" spans="1:11" s="8" customFormat="1" ht="44.25" customHeight="1" outlineLevel="3" x14ac:dyDescent="0.2">
      <c r="A124" s="49" t="s">
        <v>177</v>
      </c>
      <c r="B124" s="45" t="s">
        <v>301</v>
      </c>
      <c r="C124" s="46">
        <v>550000</v>
      </c>
      <c r="D124" s="46">
        <v>550000</v>
      </c>
      <c r="E124" s="31">
        <f t="shared" si="60"/>
        <v>0</v>
      </c>
      <c r="F124" s="46">
        <v>0</v>
      </c>
      <c r="G124" s="46">
        <v>0</v>
      </c>
      <c r="H124" s="30">
        <f t="shared" si="67"/>
        <v>0</v>
      </c>
      <c r="I124" s="46">
        <v>0</v>
      </c>
      <c r="J124" s="46">
        <v>0</v>
      </c>
      <c r="K124" s="30">
        <f t="shared" si="61"/>
        <v>0</v>
      </c>
    </row>
    <row r="125" spans="1:11" s="8" customFormat="1" ht="51" outlineLevel="3" x14ac:dyDescent="0.2">
      <c r="A125" s="44" t="s">
        <v>177</v>
      </c>
      <c r="B125" s="45" t="s">
        <v>209</v>
      </c>
      <c r="C125" s="46">
        <v>6000000</v>
      </c>
      <c r="D125" s="46">
        <v>6000000</v>
      </c>
      <c r="E125" s="31">
        <f t="shared" si="60"/>
        <v>0</v>
      </c>
      <c r="F125" s="46">
        <v>0</v>
      </c>
      <c r="G125" s="46">
        <v>0</v>
      </c>
      <c r="H125" s="30">
        <f t="shared" si="67"/>
        <v>0</v>
      </c>
      <c r="I125" s="46">
        <v>0</v>
      </c>
      <c r="J125" s="46">
        <v>0</v>
      </c>
      <c r="K125" s="30">
        <f t="shared" si="61"/>
        <v>0</v>
      </c>
    </row>
    <row r="126" spans="1:11" s="8" customFormat="1" ht="45" customHeight="1" outlineLevel="3" x14ac:dyDescent="0.2">
      <c r="A126" s="44" t="s">
        <v>177</v>
      </c>
      <c r="B126" s="50" t="s">
        <v>299</v>
      </c>
      <c r="C126" s="46">
        <v>50000000</v>
      </c>
      <c r="D126" s="46">
        <v>50000000</v>
      </c>
      <c r="E126" s="31">
        <f t="shared" ref="E126" si="93">D126-C126</f>
        <v>0</v>
      </c>
      <c r="F126" s="46">
        <v>210000000</v>
      </c>
      <c r="G126" s="46">
        <v>210000000</v>
      </c>
      <c r="H126" s="30">
        <f t="shared" ref="H126" si="94">G126-F126</f>
        <v>0</v>
      </c>
      <c r="I126" s="46">
        <v>0</v>
      </c>
      <c r="J126" s="46">
        <v>0</v>
      </c>
      <c r="K126" s="30">
        <f t="shared" ref="K126" si="95">J126-I126</f>
        <v>0</v>
      </c>
    </row>
    <row r="127" spans="1:11" s="8" customFormat="1" ht="38.25" outlineLevel="3" x14ac:dyDescent="0.2">
      <c r="A127" s="44" t="s">
        <v>190</v>
      </c>
      <c r="B127" s="45" t="s">
        <v>210</v>
      </c>
      <c r="C127" s="47">
        <v>645836.4</v>
      </c>
      <c r="D127" s="47">
        <v>645836.4</v>
      </c>
      <c r="E127" s="31">
        <f t="shared" si="60"/>
        <v>0</v>
      </c>
      <c r="F127" s="47">
        <v>0</v>
      </c>
      <c r="G127" s="47">
        <v>0</v>
      </c>
      <c r="H127" s="30">
        <f t="shared" si="67"/>
        <v>0</v>
      </c>
      <c r="I127" s="47">
        <v>0</v>
      </c>
      <c r="J127" s="47">
        <v>0</v>
      </c>
      <c r="K127" s="30">
        <f t="shared" si="61"/>
        <v>0</v>
      </c>
    </row>
    <row r="128" spans="1:11" s="8" customFormat="1" ht="38.25" outlineLevel="3" x14ac:dyDescent="0.2">
      <c r="A128" s="44" t="s">
        <v>177</v>
      </c>
      <c r="B128" s="45" t="s">
        <v>211</v>
      </c>
      <c r="C128" s="46">
        <v>3512422.8</v>
      </c>
      <c r="D128" s="46">
        <v>3512422.8</v>
      </c>
      <c r="E128" s="31">
        <f t="shared" si="60"/>
        <v>0</v>
      </c>
      <c r="F128" s="46">
        <v>0</v>
      </c>
      <c r="G128" s="46">
        <v>0</v>
      </c>
      <c r="H128" s="30">
        <f t="shared" si="67"/>
        <v>0</v>
      </c>
      <c r="I128" s="46">
        <v>0</v>
      </c>
      <c r="J128" s="46">
        <v>0</v>
      </c>
      <c r="K128" s="30">
        <f t="shared" si="61"/>
        <v>0</v>
      </c>
    </row>
    <row r="129" spans="1:11" s="8" customFormat="1" ht="28.5" outlineLevel="2" x14ac:dyDescent="0.2">
      <c r="A129" s="19" t="s">
        <v>178</v>
      </c>
      <c r="B129" s="25" t="s">
        <v>179</v>
      </c>
      <c r="C129" s="26">
        <f>SUM(C130:C136)</f>
        <v>1238691629.1999998</v>
      </c>
      <c r="D129" s="26">
        <f>SUM(D130:D136)</f>
        <v>1262181529.3099999</v>
      </c>
      <c r="E129" s="27">
        <f t="shared" ref="E129:K129" si="96">SUM(E130:E136)</f>
        <v>23489900.109999999</v>
      </c>
      <c r="F129" s="26">
        <f t="shared" ref="F129" si="97">SUM(F130:F136)</f>
        <v>1260115923.6099999</v>
      </c>
      <c r="G129" s="26">
        <f t="shared" si="96"/>
        <v>1260115923.6099999</v>
      </c>
      <c r="H129" s="26">
        <f t="shared" si="67"/>
        <v>0</v>
      </c>
      <c r="I129" s="26">
        <f t="shared" ref="I129" si="98">SUM(I130:I136)</f>
        <v>1312651014.5699999</v>
      </c>
      <c r="J129" s="26">
        <f t="shared" si="96"/>
        <v>1312651014.5699999</v>
      </c>
      <c r="K129" s="26">
        <f t="shared" si="96"/>
        <v>0</v>
      </c>
    </row>
    <row r="130" spans="1:11" s="8" customFormat="1" ht="51" outlineLevel="3" x14ac:dyDescent="0.2">
      <c r="A130" s="28" t="s">
        <v>180</v>
      </c>
      <c r="B130" s="36" t="s">
        <v>181</v>
      </c>
      <c r="C130" s="30">
        <f>35839700+15.1</f>
        <v>35839715.100000001</v>
      </c>
      <c r="D130" s="30">
        <f>35839700+15.1</f>
        <v>35839715.100000001</v>
      </c>
      <c r="E130" s="31">
        <f t="shared" si="60"/>
        <v>0</v>
      </c>
      <c r="F130" s="30">
        <f>37800200-43.31</f>
        <v>37800156.689999998</v>
      </c>
      <c r="G130" s="30">
        <f>37800200-43.31</f>
        <v>37800156.689999998</v>
      </c>
      <c r="H130" s="30">
        <f t="shared" si="67"/>
        <v>0</v>
      </c>
      <c r="I130" s="30">
        <f>37800200-43.31</f>
        <v>37800156.689999998</v>
      </c>
      <c r="J130" s="30">
        <f>37800200-43.31</f>
        <v>37800156.689999998</v>
      </c>
      <c r="K130" s="30">
        <f t="shared" si="61"/>
        <v>0</v>
      </c>
    </row>
    <row r="131" spans="1:11" s="8" customFormat="1" ht="63.75" outlineLevel="3" x14ac:dyDescent="0.2">
      <c r="A131" s="28" t="s">
        <v>182</v>
      </c>
      <c r="B131" s="36" t="s">
        <v>183</v>
      </c>
      <c r="C131" s="30">
        <v>52653096.119999997</v>
      </c>
      <c r="D131" s="30">
        <f>52653096.12-7423420.67</f>
        <v>45229675.449999996</v>
      </c>
      <c r="E131" s="31">
        <f t="shared" si="60"/>
        <v>-7423420.6700000018</v>
      </c>
      <c r="F131" s="30">
        <v>52653096.119999997</v>
      </c>
      <c r="G131" s="30">
        <v>52653096.119999997</v>
      </c>
      <c r="H131" s="30">
        <f t="shared" si="67"/>
        <v>0</v>
      </c>
      <c r="I131" s="30">
        <v>52653096.119999997</v>
      </c>
      <c r="J131" s="30">
        <v>52653096.119999997</v>
      </c>
      <c r="K131" s="30">
        <f t="shared" si="61"/>
        <v>0</v>
      </c>
    </row>
    <row r="132" spans="1:11" s="8" customFormat="1" ht="51" outlineLevel="3" x14ac:dyDescent="0.2">
      <c r="A132" s="28" t="s">
        <v>184</v>
      </c>
      <c r="B132" s="36" t="s">
        <v>185</v>
      </c>
      <c r="C132" s="30">
        <f>70813957.5-564572.45</f>
        <v>70249385.049999997</v>
      </c>
      <c r="D132" s="30">
        <f>70813957.5-564572.45</f>
        <v>70249385.049999997</v>
      </c>
      <c r="E132" s="31">
        <f t="shared" si="60"/>
        <v>0</v>
      </c>
      <c r="F132" s="30">
        <f>57849800+41.5-7545631.5</f>
        <v>50304210</v>
      </c>
      <c r="G132" s="30">
        <f>57849800+41.5-7545631.5</f>
        <v>50304210</v>
      </c>
      <c r="H132" s="30">
        <f t="shared" si="67"/>
        <v>0</v>
      </c>
      <c r="I132" s="30">
        <f>50304200+10</f>
        <v>50304210</v>
      </c>
      <c r="J132" s="30">
        <f>50304200+10</f>
        <v>50304210</v>
      </c>
      <c r="K132" s="30">
        <f t="shared" si="61"/>
        <v>0</v>
      </c>
    </row>
    <row r="133" spans="1:11" s="8" customFormat="1" ht="51" outlineLevel="3" x14ac:dyDescent="0.2">
      <c r="A133" s="28" t="s">
        <v>186</v>
      </c>
      <c r="B133" s="36" t="s">
        <v>187</v>
      </c>
      <c r="C133" s="30">
        <f>17700-20</f>
        <v>17680</v>
      </c>
      <c r="D133" s="30">
        <f>17700-20</f>
        <v>17680</v>
      </c>
      <c r="E133" s="31">
        <f t="shared" si="60"/>
        <v>0</v>
      </c>
      <c r="F133" s="30">
        <f>186500-38</f>
        <v>186462</v>
      </c>
      <c r="G133" s="30">
        <f>186500-38</f>
        <v>186462</v>
      </c>
      <c r="H133" s="30">
        <f t="shared" si="67"/>
        <v>0</v>
      </c>
      <c r="I133" s="30">
        <f>17400+44</f>
        <v>17444</v>
      </c>
      <c r="J133" s="30">
        <f>17400+44</f>
        <v>17444</v>
      </c>
      <c r="K133" s="30">
        <f t="shared" si="61"/>
        <v>0</v>
      </c>
    </row>
    <row r="134" spans="1:11" s="8" customFormat="1" ht="90.75" customHeight="1" outlineLevel="3" x14ac:dyDescent="0.2">
      <c r="A134" s="28" t="s">
        <v>188</v>
      </c>
      <c r="B134" s="29" t="s">
        <v>189</v>
      </c>
      <c r="C134" s="30">
        <v>69370560</v>
      </c>
      <c r="D134" s="30">
        <v>69370560</v>
      </c>
      <c r="E134" s="31">
        <f t="shared" si="60"/>
        <v>0</v>
      </c>
      <c r="F134" s="30">
        <v>69370560</v>
      </c>
      <c r="G134" s="30">
        <v>69370560</v>
      </c>
      <c r="H134" s="30">
        <f t="shared" si="67"/>
        <v>0</v>
      </c>
      <c r="I134" s="30">
        <v>69370560</v>
      </c>
      <c r="J134" s="30">
        <v>69370560</v>
      </c>
      <c r="K134" s="30">
        <f t="shared" si="61"/>
        <v>0</v>
      </c>
    </row>
    <row r="135" spans="1:11" s="8" customFormat="1" ht="57" customHeight="1" outlineLevel="3" x14ac:dyDescent="0.2">
      <c r="A135" s="51" t="s">
        <v>251</v>
      </c>
      <c r="B135" s="52" t="s">
        <v>252</v>
      </c>
      <c r="C135" s="30">
        <f>45826011+2478</f>
        <v>45828489</v>
      </c>
      <c r="D135" s="30">
        <f>45826011+2478</f>
        <v>45828489</v>
      </c>
      <c r="E135" s="31">
        <f t="shared" si="60"/>
        <v>0</v>
      </c>
      <c r="F135" s="30">
        <v>43135246</v>
      </c>
      <c r="G135" s="30">
        <v>43135246</v>
      </c>
      <c r="H135" s="30">
        <v>0</v>
      </c>
      <c r="I135" s="30">
        <v>42061712</v>
      </c>
      <c r="J135" s="30">
        <v>42061712</v>
      </c>
      <c r="K135" s="30">
        <f t="shared" si="61"/>
        <v>0</v>
      </c>
    </row>
    <row r="136" spans="1:11" s="8" customFormat="1" ht="15.75" outlineLevel="3" x14ac:dyDescent="0.2">
      <c r="A136" s="28" t="s">
        <v>190</v>
      </c>
      <c r="B136" s="36" t="s">
        <v>191</v>
      </c>
      <c r="C136" s="30">
        <f t="shared" ref="C136" si="99">SUM(C137:C156)</f>
        <v>964732703.92999995</v>
      </c>
      <c r="D136" s="30">
        <f t="shared" ref="D136:K136" si="100">SUM(D137:D156)</f>
        <v>995646024.71000004</v>
      </c>
      <c r="E136" s="31">
        <f t="shared" si="100"/>
        <v>30913320.780000001</v>
      </c>
      <c r="F136" s="30">
        <f t="shared" ref="F136" si="101">SUM(F137:F156)</f>
        <v>1006666192.8</v>
      </c>
      <c r="G136" s="30">
        <f t="shared" si="100"/>
        <v>1006666192.8</v>
      </c>
      <c r="H136" s="30">
        <f t="shared" si="67"/>
        <v>0</v>
      </c>
      <c r="I136" s="30">
        <f t="shared" ref="I136" si="102">SUM(I137:I156)</f>
        <v>1060443835.7599999</v>
      </c>
      <c r="J136" s="30">
        <f t="shared" si="100"/>
        <v>1060443835.7599999</v>
      </c>
      <c r="K136" s="30">
        <f t="shared" si="100"/>
        <v>0</v>
      </c>
    </row>
    <row r="137" spans="1:11" s="8" customFormat="1" ht="51" outlineLevel="3" x14ac:dyDescent="0.2">
      <c r="A137" s="44" t="s">
        <v>190</v>
      </c>
      <c r="B137" s="45" t="s">
        <v>213</v>
      </c>
      <c r="C137" s="30">
        <f>3416700+22.18</f>
        <v>3416722.18</v>
      </c>
      <c r="D137" s="30">
        <f>3416700+22.18</f>
        <v>3416722.18</v>
      </c>
      <c r="E137" s="31">
        <f t="shared" si="60"/>
        <v>0</v>
      </c>
      <c r="F137" s="30">
        <f>3606700+23.51</f>
        <v>3606723.51</v>
      </c>
      <c r="G137" s="30">
        <f>3606700+23.51</f>
        <v>3606723.51</v>
      </c>
      <c r="H137" s="30">
        <f t="shared" si="67"/>
        <v>0</v>
      </c>
      <c r="I137" s="30">
        <f>3441400-1.88</f>
        <v>3441398.12</v>
      </c>
      <c r="J137" s="30">
        <f>3441400-1.88</f>
        <v>3441398.12</v>
      </c>
      <c r="K137" s="30">
        <f t="shared" si="61"/>
        <v>0</v>
      </c>
    </row>
    <row r="138" spans="1:11" s="8" customFormat="1" ht="63.75" outlineLevel="3" x14ac:dyDescent="0.2">
      <c r="A138" s="44" t="s">
        <v>190</v>
      </c>
      <c r="B138" s="45" t="s">
        <v>214</v>
      </c>
      <c r="C138" s="30">
        <f>57849800+41.5-7545631.5+50304210-50304210-50304210</f>
        <v>0</v>
      </c>
      <c r="D138" s="30">
        <f>57849800+41.5-7545631.5+50304210-50304210-50304210</f>
        <v>0</v>
      </c>
      <c r="E138" s="31">
        <f t="shared" si="60"/>
        <v>0</v>
      </c>
      <c r="F138" s="30">
        <v>0</v>
      </c>
      <c r="G138" s="30">
        <v>0</v>
      </c>
      <c r="H138" s="30">
        <f t="shared" si="67"/>
        <v>0</v>
      </c>
      <c r="I138" s="30">
        <v>0</v>
      </c>
      <c r="J138" s="30">
        <v>0</v>
      </c>
      <c r="K138" s="30">
        <f t="shared" si="61"/>
        <v>0</v>
      </c>
    </row>
    <row r="139" spans="1:11" s="8" customFormat="1" ht="67.5" customHeight="1" outlineLevel="3" x14ac:dyDescent="0.2">
      <c r="A139" s="44" t="s">
        <v>190</v>
      </c>
      <c r="B139" s="45" t="s">
        <v>215</v>
      </c>
      <c r="C139" s="30">
        <f>772000-17.2-48661.2-301825.3</f>
        <v>421496.3000000001</v>
      </c>
      <c r="D139" s="30">
        <f>772000-17.2-48661.2-301825.3</f>
        <v>421496.3000000001</v>
      </c>
      <c r="E139" s="31">
        <f t="shared" si="60"/>
        <v>0</v>
      </c>
      <c r="F139" s="30">
        <f>347100-1</f>
        <v>347099</v>
      </c>
      <c r="G139" s="30">
        <f>347100-1</f>
        <v>347099</v>
      </c>
      <c r="H139" s="30">
        <f t="shared" si="67"/>
        <v>0</v>
      </c>
      <c r="I139" s="30">
        <f>301800+25.3</f>
        <v>301825.3</v>
      </c>
      <c r="J139" s="30">
        <f>301800+25.3</f>
        <v>301825.3</v>
      </c>
      <c r="K139" s="30">
        <f t="shared" si="61"/>
        <v>0</v>
      </c>
    </row>
    <row r="140" spans="1:11" s="8" customFormat="1" ht="127.5" outlineLevel="3" x14ac:dyDescent="0.2">
      <c r="A140" s="44" t="s">
        <v>216</v>
      </c>
      <c r="B140" s="45" t="s">
        <v>217</v>
      </c>
      <c r="C140" s="30">
        <v>762372372.38999999</v>
      </c>
      <c r="D140" s="30">
        <v>762372372.38999999</v>
      </c>
      <c r="E140" s="31">
        <f t="shared" si="60"/>
        <v>0</v>
      </c>
      <c r="F140" s="30">
        <v>815854624.78999996</v>
      </c>
      <c r="G140" s="30">
        <v>815854624.78999996</v>
      </c>
      <c r="H140" s="30">
        <f t="shared" si="67"/>
        <v>0</v>
      </c>
      <c r="I140" s="30">
        <v>869853602.17999995</v>
      </c>
      <c r="J140" s="30">
        <v>869853602.17999995</v>
      </c>
      <c r="K140" s="30">
        <f t="shared" si="61"/>
        <v>0</v>
      </c>
    </row>
    <row r="141" spans="1:11" s="8" customFormat="1" ht="51" outlineLevel="3" x14ac:dyDescent="0.2">
      <c r="A141" s="44" t="s">
        <v>216</v>
      </c>
      <c r="B141" s="45" t="s">
        <v>218</v>
      </c>
      <c r="C141" s="30">
        <f>1104700+23.42</f>
        <v>1104723.42</v>
      </c>
      <c r="D141" s="30">
        <f>1104700+23.42</f>
        <v>1104723.42</v>
      </c>
      <c r="E141" s="31">
        <f t="shared" si="60"/>
        <v>0</v>
      </c>
      <c r="F141" s="30">
        <f>1104700+23.42</f>
        <v>1104723.42</v>
      </c>
      <c r="G141" s="30">
        <f>1104700+23.42</f>
        <v>1104723.42</v>
      </c>
      <c r="H141" s="30">
        <f t="shared" si="67"/>
        <v>0</v>
      </c>
      <c r="I141" s="30">
        <f>1104700+23.42</f>
        <v>1104723.42</v>
      </c>
      <c r="J141" s="30">
        <f>1104700+23.42</f>
        <v>1104723.42</v>
      </c>
      <c r="K141" s="30">
        <f t="shared" si="61"/>
        <v>0</v>
      </c>
    </row>
    <row r="142" spans="1:11" s="8" customFormat="1" ht="63.75" outlineLevel="3" x14ac:dyDescent="0.2">
      <c r="A142" s="44" t="s">
        <v>216</v>
      </c>
      <c r="B142" s="45" t="s">
        <v>219</v>
      </c>
      <c r="C142" s="30">
        <v>1267455.8500000001</v>
      </c>
      <c r="D142" s="30">
        <v>1267455.8500000001</v>
      </c>
      <c r="E142" s="31">
        <f t="shared" si="60"/>
        <v>0</v>
      </c>
      <c r="F142" s="30">
        <v>1267455.8500000001</v>
      </c>
      <c r="G142" s="30">
        <v>1267455.8500000001</v>
      </c>
      <c r="H142" s="30">
        <f t="shared" si="67"/>
        <v>0</v>
      </c>
      <c r="I142" s="30">
        <v>1267455.8500000001</v>
      </c>
      <c r="J142" s="30">
        <v>1267455.8500000001</v>
      </c>
      <c r="K142" s="30">
        <f t="shared" si="61"/>
        <v>0</v>
      </c>
    </row>
    <row r="143" spans="1:11" s="8" customFormat="1" ht="38.25" outlineLevel="3" x14ac:dyDescent="0.2">
      <c r="A143" s="44" t="s">
        <v>216</v>
      </c>
      <c r="B143" s="45" t="s">
        <v>220</v>
      </c>
      <c r="C143" s="30">
        <f>152381100+23.58+12384935.47</f>
        <v>164766059.05000001</v>
      </c>
      <c r="D143" s="30">
        <f>152381100+23.58+12384935.47+30000000</f>
        <v>194766059.05000001</v>
      </c>
      <c r="E143" s="31">
        <f t="shared" si="60"/>
        <v>30000000</v>
      </c>
      <c r="F143" s="30">
        <f>153920300+26.85</f>
        <v>153920326.84999999</v>
      </c>
      <c r="G143" s="30">
        <f>153920300+26.85</f>
        <v>153920326.84999999</v>
      </c>
      <c r="H143" s="30">
        <f t="shared" si="67"/>
        <v>0</v>
      </c>
      <c r="I143" s="30">
        <f>153920300+26.85</f>
        <v>153920326.84999999</v>
      </c>
      <c r="J143" s="30">
        <f>153920300+26.85</f>
        <v>153920326.84999999</v>
      </c>
      <c r="K143" s="30">
        <f t="shared" si="61"/>
        <v>0</v>
      </c>
    </row>
    <row r="144" spans="1:11" s="8" customFormat="1" ht="51" outlineLevel="3" x14ac:dyDescent="0.2">
      <c r="A144" s="44" t="s">
        <v>216</v>
      </c>
      <c r="B144" s="45" t="s">
        <v>221</v>
      </c>
      <c r="C144" s="30">
        <f>2474700+15-15</f>
        <v>2474700</v>
      </c>
      <c r="D144" s="30">
        <f>2474700+15-15</f>
        <v>2474700</v>
      </c>
      <c r="E144" s="31">
        <f t="shared" si="60"/>
        <v>0</v>
      </c>
      <c r="F144" s="30">
        <f>2474700+15-15</f>
        <v>2474700</v>
      </c>
      <c r="G144" s="30">
        <f>2474700+15-15</f>
        <v>2474700</v>
      </c>
      <c r="H144" s="30">
        <f t="shared" si="67"/>
        <v>0</v>
      </c>
      <c r="I144" s="30">
        <f>2474715-15</f>
        <v>2474700</v>
      </c>
      <c r="J144" s="30">
        <f>2474715-15</f>
        <v>2474700</v>
      </c>
      <c r="K144" s="30">
        <f t="shared" si="61"/>
        <v>0</v>
      </c>
    </row>
    <row r="145" spans="1:11" s="8" customFormat="1" ht="89.25" outlineLevel="3" x14ac:dyDescent="0.2">
      <c r="A145" s="44" t="s">
        <v>216</v>
      </c>
      <c r="B145" s="45" t="s">
        <v>222</v>
      </c>
      <c r="C145" s="30">
        <f t="shared" ref="C145:J145" si="103">802235.52-35.52</f>
        <v>802200</v>
      </c>
      <c r="D145" s="30">
        <f t="shared" si="103"/>
        <v>802200</v>
      </c>
      <c r="E145" s="31">
        <f t="shared" si="60"/>
        <v>0</v>
      </c>
      <c r="F145" s="30">
        <f t="shared" si="103"/>
        <v>802200</v>
      </c>
      <c r="G145" s="30">
        <f t="shared" si="103"/>
        <v>802200</v>
      </c>
      <c r="H145" s="30">
        <f t="shared" si="67"/>
        <v>0</v>
      </c>
      <c r="I145" s="30">
        <f t="shared" si="103"/>
        <v>802200</v>
      </c>
      <c r="J145" s="30">
        <f t="shared" si="103"/>
        <v>802200</v>
      </c>
      <c r="K145" s="30">
        <f t="shared" si="61"/>
        <v>0</v>
      </c>
    </row>
    <row r="146" spans="1:11" s="8" customFormat="1" ht="51" outlineLevel="3" x14ac:dyDescent="0.2">
      <c r="A146" s="44" t="s">
        <v>216</v>
      </c>
      <c r="B146" s="45" t="s">
        <v>223</v>
      </c>
      <c r="C146" s="30">
        <f>4940000+14</f>
        <v>4940014</v>
      </c>
      <c r="D146" s="30">
        <f>4940000+14</f>
        <v>4940014</v>
      </c>
      <c r="E146" s="31">
        <f t="shared" si="60"/>
        <v>0</v>
      </c>
      <c r="F146" s="30">
        <f>4940000+14</f>
        <v>4940014</v>
      </c>
      <c r="G146" s="30">
        <f>4940000+14</f>
        <v>4940014</v>
      </c>
      <c r="H146" s="30">
        <f t="shared" si="67"/>
        <v>0</v>
      </c>
      <c r="I146" s="30">
        <f>4940000+14</f>
        <v>4940014</v>
      </c>
      <c r="J146" s="30">
        <f>4940000+14</f>
        <v>4940014</v>
      </c>
      <c r="K146" s="30">
        <f t="shared" si="61"/>
        <v>0</v>
      </c>
    </row>
    <row r="147" spans="1:11" s="8" customFormat="1" ht="114.75" outlineLevel="3" x14ac:dyDescent="0.2">
      <c r="A147" s="44" t="s">
        <v>216</v>
      </c>
      <c r="B147" s="45" t="s">
        <v>224</v>
      </c>
      <c r="C147" s="30">
        <f>300-3.95</f>
        <v>296.05</v>
      </c>
      <c r="D147" s="30">
        <f>300-3.95</f>
        <v>296.05</v>
      </c>
      <c r="E147" s="31">
        <f t="shared" si="60"/>
        <v>0</v>
      </c>
      <c r="F147" s="30">
        <f>300-3.95</f>
        <v>296.05</v>
      </c>
      <c r="G147" s="30">
        <f>300-3.95</f>
        <v>296.05</v>
      </c>
      <c r="H147" s="30">
        <f t="shared" ref="H147:H167" si="104">G147-F147</f>
        <v>0</v>
      </c>
      <c r="I147" s="30">
        <f>300-3.95</f>
        <v>296.05</v>
      </c>
      <c r="J147" s="30">
        <f>300-3.95</f>
        <v>296.05</v>
      </c>
      <c r="K147" s="30">
        <f t="shared" si="61"/>
        <v>0</v>
      </c>
    </row>
    <row r="148" spans="1:11" s="8" customFormat="1" ht="76.5" outlineLevel="3" x14ac:dyDescent="0.2">
      <c r="A148" s="44" t="s">
        <v>216</v>
      </c>
      <c r="B148" s="45" t="s">
        <v>225</v>
      </c>
      <c r="C148" s="30">
        <f>156300+36.39</f>
        <v>156336.39000000001</v>
      </c>
      <c r="D148" s="30">
        <f>156300+36.39</f>
        <v>156336.39000000001</v>
      </c>
      <c r="E148" s="31">
        <f t="shared" si="60"/>
        <v>0</v>
      </c>
      <c r="F148" s="30">
        <f>164500-21.28</f>
        <v>164478.72</v>
      </c>
      <c r="G148" s="30">
        <f>164500-21.28</f>
        <v>164478.72</v>
      </c>
      <c r="H148" s="30">
        <f t="shared" si="104"/>
        <v>0</v>
      </c>
      <c r="I148" s="30">
        <f>164500-21.28</f>
        <v>164478.72</v>
      </c>
      <c r="J148" s="30">
        <f>164500-21.28</f>
        <v>164478.72</v>
      </c>
      <c r="K148" s="30">
        <f t="shared" si="61"/>
        <v>0</v>
      </c>
    </row>
    <row r="149" spans="1:11" s="8" customFormat="1" ht="51" outlineLevel="3" x14ac:dyDescent="0.2">
      <c r="A149" s="44" t="s">
        <v>216</v>
      </c>
      <c r="B149" s="45" t="s">
        <v>226</v>
      </c>
      <c r="C149" s="30">
        <f>3828400+47.95+303587.92</f>
        <v>4132035.87</v>
      </c>
      <c r="D149" s="30">
        <f>3828400+47.95+303587.92</f>
        <v>4132035.87</v>
      </c>
      <c r="E149" s="31">
        <f t="shared" si="60"/>
        <v>0</v>
      </c>
      <c r="F149" s="30">
        <f>3828400+47.95+303587.92</f>
        <v>4132035.87</v>
      </c>
      <c r="G149" s="30">
        <f>3828400+47.95+303587.92</f>
        <v>4132035.87</v>
      </c>
      <c r="H149" s="30">
        <f t="shared" si="104"/>
        <v>0</v>
      </c>
      <c r="I149" s="30">
        <f>3828400+47.95+303587.92</f>
        <v>4132035.87</v>
      </c>
      <c r="J149" s="30">
        <f>3828400+47.95+303587.92</f>
        <v>4132035.87</v>
      </c>
      <c r="K149" s="30">
        <f t="shared" si="61"/>
        <v>0</v>
      </c>
    </row>
    <row r="150" spans="1:11" s="8" customFormat="1" ht="127.5" outlineLevel="3" x14ac:dyDescent="0.2">
      <c r="A150" s="44" t="s">
        <v>216</v>
      </c>
      <c r="B150" s="45" t="s">
        <v>227</v>
      </c>
      <c r="C150" s="30">
        <v>5364656.6399999997</v>
      </c>
      <c r="D150" s="30">
        <v>5364656.6399999997</v>
      </c>
      <c r="E150" s="31">
        <f t="shared" si="60"/>
        <v>0</v>
      </c>
      <c r="F150" s="30">
        <v>5364656.6399999997</v>
      </c>
      <c r="G150" s="30">
        <v>5364656.6399999997</v>
      </c>
      <c r="H150" s="30">
        <f t="shared" si="104"/>
        <v>0</v>
      </c>
      <c r="I150" s="30">
        <v>5364656.6399999997</v>
      </c>
      <c r="J150" s="30">
        <v>5364656.6399999997</v>
      </c>
      <c r="K150" s="30">
        <f t="shared" si="61"/>
        <v>0</v>
      </c>
    </row>
    <row r="151" spans="1:11" s="8" customFormat="1" ht="89.25" outlineLevel="3" x14ac:dyDescent="0.2">
      <c r="A151" s="44" t="s">
        <v>190</v>
      </c>
      <c r="B151" s="45" t="s">
        <v>228</v>
      </c>
      <c r="C151" s="30">
        <f>572249.37-22.94</f>
        <v>572226.43000000005</v>
      </c>
      <c r="D151" s="30">
        <f>572249.37-22.94+9042.78</f>
        <v>581269.21000000008</v>
      </c>
      <c r="E151" s="31">
        <f t="shared" si="60"/>
        <v>9042.7800000000279</v>
      </c>
      <c r="F151" s="30">
        <v>536124.81999999995</v>
      </c>
      <c r="G151" s="30">
        <v>536124.81999999995</v>
      </c>
      <c r="H151" s="30">
        <f t="shared" si="104"/>
        <v>0</v>
      </c>
      <c r="I151" s="30">
        <v>525389.48</v>
      </c>
      <c r="J151" s="30">
        <v>525389.48</v>
      </c>
      <c r="K151" s="30">
        <f t="shared" si="61"/>
        <v>0</v>
      </c>
    </row>
    <row r="152" spans="1:11" s="8" customFormat="1" ht="127.5" outlineLevel="3" x14ac:dyDescent="0.2">
      <c r="A152" s="44" t="s">
        <v>190</v>
      </c>
      <c r="B152" s="45" t="s">
        <v>229</v>
      </c>
      <c r="C152" s="30">
        <f>10477236-5336</f>
        <v>10471900</v>
      </c>
      <c r="D152" s="30">
        <f>10477236-5336</f>
        <v>10471900</v>
      </c>
      <c r="E152" s="31">
        <f t="shared" si="60"/>
        <v>0</v>
      </c>
      <c r="F152" s="30">
        <v>10477236</v>
      </c>
      <c r="G152" s="30">
        <v>10477236</v>
      </c>
      <c r="H152" s="30">
        <f t="shared" si="104"/>
        <v>0</v>
      </c>
      <c r="I152" s="30">
        <v>10477236</v>
      </c>
      <c r="J152" s="30">
        <v>10477236</v>
      </c>
      <c r="K152" s="30">
        <f t="shared" si="61"/>
        <v>0</v>
      </c>
    </row>
    <row r="153" spans="1:11" s="8" customFormat="1" ht="102" outlineLevel="3" x14ac:dyDescent="0.2">
      <c r="A153" s="44" t="s">
        <v>190</v>
      </c>
      <c r="B153" s="45" t="s">
        <v>230</v>
      </c>
      <c r="C153" s="30">
        <f>921690+564</f>
        <v>922254</v>
      </c>
      <c r="D153" s="30">
        <f>921690+564+904278</f>
        <v>1826532</v>
      </c>
      <c r="E153" s="31">
        <f t="shared" si="60"/>
        <v>904278</v>
      </c>
      <c r="F153" s="30">
        <v>0</v>
      </c>
      <c r="G153" s="30">
        <v>0</v>
      </c>
      <c r="H153" s="30">
        <f t="shared" si="104"/>
        <v>0</v>
      </c>
      <c r="I153" s="30">
        <v>0</v>
      </c>
      <c r="J153" s="30">
        <v>0</v>
      </c>
      <c r="K153" s="30">
        <f t="shared" si="61"/>
        <v>0</v>
      </c>
    </row>
    <row r="154" spans="1:11" s="8" customFormat="1" ht="63.75" outlineLevel="3" x14ac:dyDescent="0.2">
      <c r="A154" s="44" t="s">
        <v>190</v>
      </c>
      <c r="B154" s="45" t="s">
        <v>231</v>
      </c>
      <c r="C154" s="30">
        <v>537320</v>
      </c>
      <c r="D154" s="30">
        <v>537320</v>
      </c>
      <c r="E154" s="31">
        <f t="shared" si="60"/>
        <v>0</v>
      </c>
      <c r="F154" s="30">
        <v>537320</v>
      </c>
      <c r="G154" s="30">
        <v>537320</v>
      </c>
      <c r="H154" s="30">
        <f t="shared" si="104"/>
        <v>0</v>
      </c>
      <c r="I154" s="30">
        <v>537320</v>
      </c>
      <c r="J154" s="30">
        <v>537320</v>
      </c>
      <c r="K154" s="30">
        <f t="shared" si="61"/>
        <v>0</v>
      </c>
    </row>
    <row r="155" spans="1:11" s="8" customFormat="1" ht="100.5" customHeight="1" outlineLevel="3" x14ac:dyDescent="0.2">
      <c r="A155" s="44" t="s">
        <v>190</v>
      </c>
      <c r="B155" s="45" t="s">
        <v>302</v>
      </c>
      <c r="C155" s="30">
        <f>1054620-117180</f>
        <v>937440</v>
      </c>
      <c r="D155" s="30">
        <f>1054620-117180</f>
        <v>937440</v>
      </c>
      <c r="E155" s="31">
        <f t="shared" ref="E155" si="105">D155-C155</f>
        <v>0</v>
      </c>
      <c r="F155" s="30">
        <v>1054620</v>
      </c>
      <c r="G155" s="30">
        <v>1054620</v>
      </c>
      <c r="H155" s="30">
        <f t="shared" ref="H155" si="106">G155-F155</f>
        <v>0</v>
      </c>
      <c r="I155" s="30">
        <v>1054620</v>
      </c>
      <c r="J155" s="30">
        <v>1054620</v>
      </c>
      <c r="K155" s="30">
        <f t="shared" ref="K155" si="107">J155-I155</f>
        <v>0</v>
      </c>
    </row>
    <row r="156" spans="1:11" s="8" customFormat="1" ht="99" customHeight="1" outlineLevel="3" x14ac:dyDescent="0.2">
      <c r="A156" s="44" t="s">
        <v>190</v>
      </c>
      <c r="B156" s="45" t="s">
        <v>232</v>
      </c>
      <c r="C156" s="30">
        <f>81557.28-9061.92</f>
        <v>72495.360000000001</v>
      </c>
      <c r="D156" s="30">
        <f>81557.28-9061.92</f>
        <v>72495.360000000001</v>
      </c>
      <c r="E156" s="31">
        <f t="shared" si="60"/>
        <v>0</v>
      </c>
      <c r="F156" s="30">
        <v>81557.279999999999</v>
      </c>
      <c r="G156" s="30">
        <v>81557.279999999999</v>
      </c>
      <c r="H156" s="30">
        <f t="shared" si="104"/>
        <v>0</v>
      </c>
      <c r="I156" s="30">
        <v>81557.279999999999</v>
      </c>
      <c r="J156" s="30">
        <v>81557.279999999999</v>
      </c>
      <c r="K156" s="30">
        <f t="shared" si="61"/>
        <v>0</v>
      </c>
    </row>
    <row r="157" spans="1:11" s="8" customFormat="1" ht="28.5" outlineLevel="2" x14ac:dyDescent="0.2">
      <c r="A157" s="19" t="s">
        <v>192</v>
      </c>
      <c r="B157" s="25" t="s">
        <v>193</v>
      </c>
      <c r="C157" s="26">
        <f>SUM(C158:C159)</f>
        <v>7188177.79</v>
      </c>
      <c r="D157" s="26">
        <f>SUM(D158:D159)</f>
        <v>7188177.79</v>
      </c>
      <c r="E157" s="27">
        <f>SUM(E158:E159)</f>
        <v>0</v>
      </c>
      <c r="F157" s="26">
        <f>SUM(F158:F159)</f>
        <v>2988177.79</v>
      </c>
      <c r="G157" s="26">
        <f>SUM(G158:G159)</f>
        <v>2988177.79</v>
      </c>
      <c r="H157" s="26">
        <f t="shared" si="104"/>
        <v>0</v>
      </c>
      <c r="I157" s="26">
        <f>SUM(I158:I159)</f>
        <v>2988177.79</v>
      </c>
      <c r="J157" s="26">
        <f>SUM(J158:J159)</f>
        <v>2988177.79</v>
      </c>
      <c r="K157" s="26">
        <f>SUM(K158:K159)</f>
        <v>0</v>
      </c>
    </row>
    <row r="158" spans="1:11" s="8" customFormat="1" ht="63.75" outlineLevel="3" x14ac:dyDescent="0.2">
      <c r="A158" s="28" t="s">
        <v>194</v>
      </c>
      <c r="B158" s="36" t="s">
        <v>195</v>
      </c>
      <c r="C158" s="30">
        <v>2988177.79</v>
      </c>
      <c r="D158" s="30">
        <v>2988177.79</v>
      </c>
      <c r="E158" s="31">
        <f t="shared" si="60"/>
        <v>0</v>
      </c>
      <c r="F158" s="30">
        <v>2988177.79</v>
      </c>
      <c r="G158" s="30">
        <v>2988177.79</v>
      </c>
      <c r="H158" s="31">
        <f t="shared" si="104"/>
        <v>0</v>
      </c>
      <c r="I158" s="30">
        <v>2988177.79</v>
      </c>
      <c r="J158" s="30">
        <v>2988177.79</v>
      </c>
      <c r="K158" s="31">
        <f t="shared" si="61"/>
        <v>0</v>
      </c>
    </row>
    <row r="159" spans="1:11" s="8" customFormat="1" ht="42.75" customHeight="1" outlineLevel="3" x14ac:dyDescent="0.2">
      <c r="A159" s="28" t="s">
        <v>278</v>
      </c>
      <c r="B159" s="36" t="s">
        <v>279</v>
      </c>
      <c r="C159" s="30">
        <v>4200000</v>
      </c>
      <c r="D159" s="30">
        <v>4200000</v>
      </c>
      <c r="E159" s="31">
        <f t="shared" si="60"/>
        <v>0</v>
      </c>
      <c r="F159" s="30">
        <v>0</v>
      </c>
      <c r="G159" s="30">
        <v>0</v>
      </c>
      <c r="H159" s="31">
        <f t="shared" si="104"/>
        <v>0</v>
      </c>
      <c r="I159" s="30">
        <v>0</v>
      </c>
      <c r="J159" s="30">
        <v>0</v>
      </c>
      <c r="K159" s="31">
        <f t="shared" si="61"/>
        <v>0</v>
      </c>
    </row>
    <row r="160" spans="1:11" s="8" customFormat="1" ht="74.25" customHeight="1" outlineLevel="3" x14ac:dyDescent="0.2">
      <c r="A160" s="19" t="s">
        <v>247</v>
      </c>
      <c r="B160" s="53" t="s">
        <v>248</v>
      </c>
      <c r="C160" s="26">
        <f>C161</f>
        <v>10510344.49</v>
      </c>
      <c r="D160" s="26">
        <f>D161</f>
        <v>10510344.49</v>
      </c>
      <c r="E160" s="27">
        <f t="shared" si="60"/>
        <v>0</v>
      </c>
      <c r="F160" s="26">
        <f>F161</f>
        <v>0</v>
      </c>
      <c r="G160" s="26">
        <f>G161</f>
        <v>0</v>
      </c>
      <c r="H160" s="27">
        <f t="shared" si="104"/>
        <v>0</v>
      </c>
      <c r="I160" s="26">
        <f>I161</f>
        <v>0</v>
      </c>
      <c r="J160" s="26">
        <f>J161</f>
        <v>0</v>
      </c>
      <c r="K160" s="27">
        <f t="shared" si="61"/>
        <v>0</v>
      </c>
    </row>
    <row r="161" spans="1:11" s="8" customFormat="1" ht="48" customHeight="1" outlineLevel="3" x14ac:dyDescent="0.2">
      <c r="A161" s="28" t="s">
        <v>250</v>
      </c>
      <c r="B161" s="54" t="s">
        <v>249</v>
      </c>
      <c r="C161" s="31">
        <f>10371298+66971.01+72075.48</f>
        <v>10510344.49</v>
      </c>
      <c r="D161" s="31">
        <f>10371298+66971.01+72075.48</f>
        <v>10510344.49</v>
      </c>
      <c r="E161" s="31">
        <f t="shared" si="60"/>
        <v>0</v>
      </c>
      <c r="F161" s="30"/>
      <c r="G161" s="30"/>
      <c r="H161" s="31">
        <f t="shared" si="104"/>
        <v>0</v>
      </c>
      <c r="I161" s="30"/>
      <c r="J161" s="30"/>
      <c r="K161" s="31">
        <f t="shared" si="61"/>
        <v>0</v>
      </c>
    </row>
    <row r="162" spans="1:11" s="8" customFormat="1" ht="45.75" customHeight="1" x14ac:dyDescent="0.2">
      <c r="A162" s="55" t="s">
        <v>235</v>
      </c>
      <c r="B162" s="56" t="s">
        <v>245</v>
      </c>
      <c r="C162" s="26">
        <f>SUM(C163:C167)</f>
        <v>-16691329.5</v>
      </c>
      <c r="D162" s="26">
        <f>SUM(D163:D167)</f>
        <v>-16827392.239999998</v>
      </c>
      <c r="E162" s="27">
        <f t="shared" si="60"/>
        <v>-136062.73999999836</v>
      </c>
      <c r="F162" s="26">
        <f>SUM(F163:F167)</f>
        <v>0</v>
      </c>
      <c r="G162" s="26">
        <f>SUM(G163:G167)</f>
        <v>0</v>
      </c>
      <c r="H162" s="27">
        <f t="shared" si="104"/>
        <v>0</v>
      </c>
      <c r="I162" s="26">
        <f>SUM(I163:I167)</f>
        <v>0</v>
      </c>
      <c r="J162" s="26">
        <f>SUM(J163:J167)</f>
        <v>0</v>
      </c>
      <c r="K162" s="27">
        <f t="shared" ref="K162:K167" si="108">J162-I162</f>
        <v>0</v>
      </c>
    </row>
    <row r="163" spans="1:11" s="8" customFormat="1" ht="51" customHeight="1" x14ac:dyDescent="0.2">
      <c r="A163" s="57" t="s">
        <v>239</v>
      </c>
      <c r="B163" s="58" t="s">
        <v>246</v>
      </c>
      <c r="C163" s="31">
        <v>-5616412.54</v>
      </c>
      <c r="D163" s="31">
        <v>-5616412.54</v>
      </c>
      <c r="E163" s="31">
        <f t="shared" si="60"/>
        <v>0</v>
      </c>
      <c r="F163" s="30">
        <f t="shared" ref="F163:G163" si="109">SUM(F164:F168)</f>
        <v>0</v>
      </c>
      <c r="G163" s="30">
        <f t="shared" si="109"/>
        <v>0</v>
      </c>
      <c r="H163" s="31">
        <f t="shared" si="104"/>
        <v>0</v>
      </c>
      <c r="I163" s="30">
        <f t="shared" ref="I163:J163" si="110">SUM(I164:I168)</f>
        <v>0</v>
      </c>
      <c r="J163" s="30">
        <f t="shared" si="110"/>
        <v>0</v>
      </c>
      <c r="K163" s="31">
        <f t="shared" si="108"/>
        <v>0</v>
      </c>
    </row>
    <row r="164" spans="1:11" s="8" customFormat="1" ht="51.75" customHeight="1" x14ac:dyDescent="0.2">
      <c r="A164" s="57" t="s">
        <v>240</v>
      </c>
      <c r="B164" s="58" t="s">
        <v>241</v>
      </c>
      <c r="C164" s="30">
        <f>-10371298</f>
        <v>-10371298</v>
      </c>
      <c r="D164" s="30">
        <f>-10371298</f>
        <v>-10371298</v>
      </c>
      <c r="E164" s="31">
        <f t="shared" ref="E164:E167" si="111">D164-C164</f>
        <v>0</v>
      </c>
      <c r="F164" s="30"/>
      <c r="G164" s="30"/>
      <c r="H164" s="31">
        <f t="shared" si="104"/>
        <v>0</v>
      </c>
      <c r="I164" s="30"/>
      <c r="J164" s="30"/>
      <c r="K164" s="31">
        <f t="shared" si="108"/>
        <v>0</v>
      </c>
    </row>
    <row r="165" spans="1:11" s="8" customFormat="1" ht="63.75" hidden="1" customHeight="1" x14ac:dyDescent="0.2">
      <c r="A165" s="59" t="s">
        <v>236</v>
      </c>
      <c r="B165" s="58" t="s">
        <v>242</v>
      </c>
      <c r="C165" s="31"/>
      <c r="D165" s="31"/>
      <c r="E165" s="31">
        <f t="shared" si="111"/>
        <v>0</v>
      </c>
      <c r="F165" s="60"/>
      <c r="G165" s="60"/>
      <c r="H165" s="31">
        <f t="shared" si="104"/>
        <v>0</v>
      </c>
      <c r="I165" s="60"/>
      <c r="J165" s="60"/>
      <c r="K165" s="31">
        <f t="shared" si="108"/>
        <v>0</v>
      </c>
    </row>
    <row r="166" spans="1:11" s="8" customFormat="1" ht="45.75" hidden="1" customHeight="1" x14ac:dyDescent="0.2">
      <c r="A166" s="59" t="s">
        <v>237</v>
      </c>
      <c r="B166" s="58" t="s">
        <v>243</v>
      </c>
      <c r="C166" s="26"/>
      <c r="D166" s="26"/>
      <c r="E166" s="27">
        <f t="shared" si="111"/>
        <v>0</v>
      </c>
      <c r="F166" s="60"/>
      <c r="G166" s="60"/>
      <c r="H166" s="27">
        <f t="shared" si="104"/>
        <v>0</v>
      </c>
      <c r="I166" s="60"/>
      <c r="J166" s="60"/>
      <c r="K166" s="27">
        <f t="shared" si="108"/>
        <v>0</v>
      </c>
    </row>
    <row r="167" spans="1:11" s="8" customFormat="1" ht="49.5" customHeight="1" x14ac:dyDescent="0.2">
      <c r="A167" s="34" t="s">
        <v>238</v>
      </c>
      <c r="B167" s="61" t="s">
        <v>244</v>
      </c>
      <c r="C167" s="31">
        <f>-0.02-66971.01-564572.45-72075.48</f>
        <v>-703618.96</v>
      </c>
      <c r="D167" s="31">
        <f>-0.02-66971.01-564572.45-72075.48-136062.74</f>
        <v>-839681.7</v>
      </c>
      <c r="E167" s="31">
        <f t="shared" si="111"/>
        <v>-136062.74</v>
      </c>
      <c r="F167" s="30"/>
      <c r="G167" s="30"/>
      <c r="H167" s="31">
        <f t="shared" si="104"/>
        <v>0</v>
      </c>
      <c r="I167" s="30"/>
      <c r="J167" s="30"/>
      <c r="K167" s="31">
        <f t="shared" si="108"/>
        <v>0</v>
      </c>
    </row>
    <row r="168" spans="1:11" s="8" customFormat="1" ht="12.75" customHeight="1" x14ac:dyDescent="0.25">
      <c r="A168" s="20"/>
      <c r="E168" s="62"/>
    </row>
  </sheetData>
  <pageMargins left="0" right="0" top="0.74803149606299213" bottom="0" header="0" footer="0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ДЧБ!SIGN</vt:lpstr>
      <vt:lpstr>ДЧБ!Заголовки_для_печати</vt:lpstr>
      <vt:lpstr>ДЧБ!Область_печати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Фисюк</dc:creator>
  <dc:description>POI HSSF rep:2.56.0.334 (p4)</dc:description>
  <cp:lastModifiedBy>Виктория Скрипченко</cp:lastModifiedBy>
  <cp:lastPrinted>2025-05-15T04:46:12Z</cp:lastPrinted>
  <dcterms:created xsi:type="dcterms:W3CDTF">2025-01-14T08:02:06Z</dcterms:created>
  <dcterms:modified xsi:type="dcterms:W3CDTF">2025-05-28T06:04:01Z</dcterms:modified>
</cp:coreProperties>
</file>